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e\Desktop\Portal de Transparência\DEMONSTRATIVO DAS RECEITAS E DESPESAS\"/>
    </mc:Choice>
  </mc:AlternateContent>
  <bookViews>
    <workbookView xWindow="0" yWindow="0" windowWidth="20490" windowHeight="7530" tabRatio="956"/>
  </bookViews>
  <sheets>
    <sheet name="Anexo 12 - ESTADUAL" sheetId="3" r:id="rId1"/>
    <sheet name="Anexo 12 - FEDERAL" sheetId="4" r:id="rId2"/>
    <sheet name="Anexo 12 - FEDERAL COVID" sheetId="6" r:id="rId3"/>
    <sheet name="Anexo 12 - PRÓPRIO" sheetId="8" r:id="rId4"/>
  </sheets>
  <definedNames>
    <definedName name="_xlnm.Print_Area" localSheetId="0">'Anexo 12 - ESTADUAL'!$A$1:$F$145</definedName>
    <definedName name="_xlnm.Print_Area" localSheetId="1">'Anexo 12 - FEDERAL'!$A$1:$F$189</definedName>
    <definedName name="_xlnm.Print_Area" localSheetId="2">'Anexo 12 - FEDERAL COVID'!$A$1:$F$135</definedName>
    <definedName name="_xlnm.Print_Area" localSheetId="3">'Anexo 12 - PRÓPRIO'!$A$1:$F$128</definedName>
    <definedName name="codigo" localSheetId="3">#REF!</definedName>
    <definedName name="codigo">#REF!</definedName>
    <definedName name="conta" localSheetId="3">#REF!</definedName>
    <definedName name="conta">#REF!</definedName>
    <definedName name="conta2" localSheetId="3">#REF!</definedName>
    <definedName name="conta2">#REF!</definedName>
    <definedName name="dfg" localSheetId="2">SUM(#REF!)</definedName>
    <definedName name="dfg" localSheetId="3">SUM(#REF!)</definedName>
    <definedName name="dfg">SUM(#REF!)</definedName>
    <definedName name="fluxocaixa" localSheetId="3">#REF!</definedName>
    <definedName name="fluxocaixa">#REF!</definedName>
    <definedName name="TotalDespesasMensais" localSheetId="2">SUM(#REF!)</definedName>
    <definedName name="TotalDespesasMensais" localSheetId="3">SUM(#REF!)</definedName>
    <definedName name="TotalDespesasMensais">SUM(#REF!)</definedName>
    <definedName name="Totalmensal" localSheetId="2">SUM(#REF!)</definedName>
    <definedName name="Totalmensal" localSheetId="3">SUM(#REF!)</definedName>
    <definedName name="Totalmensal">SUM(#REF!)</definedName>
    <definedName name="TotalRendaMensal" localSheetId="2">SUM(#REF!)</definedName>
    <definedName name="TotalRendaMensal" localSheetId="3">SUM(#REF!)</definedName>
    <definedName name="TotalRendaMensal">SUM(#REF!)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4" i="3" l="1"/>
  <c r="D104" i="3"/>
  <c r="E64" i="3"/>
  <c r="E47" i="3"/>
  <c r="D146" i="4"/>
  <c r="D138" i="4"/>
  <c r="D135" i="4"/>
  <c r="D134" i="4"/>
  <c r="D132" i="4"/>
  <c r="E101" i="4"/>
  <c r="E99" i="4"/>
  <c r="E57" i="4"/>
  <c r="E50" i="4"/>
  <c r="D106" i="3" l="1"/>
  <c r="D99" i="3"/>
  <c r="D98" i="3"/>
  <c r="D95" i="3"/>
  <c r="D94" i="3"/>
  <c r="E65" i="3"/>
  <c r="E43" i="3"/>
  <c r="E57" i="3"/>
  <c r="E55" i="3"/>
  <c r="E53" i="3"/>
  <c r="E50" i="3"/>
  <c r="E46" i="3"/>
  <c r="E52" i="3"/>
  <c r="E49" i="3"/>
  <c r="E45" i="3"/>
  <c r="E41" i="3"/>
  <c r="E39" i="3"/>
  <c r="F79" i="8" l="1"/>
  <c r="F80" i="8" s="1"/>
  <c r="D79" i="8" l="1"/>
  <c r="D80" i="8" s="1"/>
  <c r="C79" i="8"/>
  <c r="C80" i="8" s="1"/>
  <c r="F83" i="8" l="1"/>
  <c r="F78" i="8"/>
  <c r="F76" i="8"/>
  <c r="F74" i="8"/>
  <c r="F71" i="8"/>
  <c r="F73" i="8" l="1"/>
  <c r="F92" i="3"/>
  <c r="F139" i="4"/>
  <c r="F137" i="4"/>
  <c r="F135" i="4"/>
  <c r="F134" i="4"/>
  <c r="D81" i="6" l="1"/>
  <c r="D80" i="6" l="1"/>
  <c r="D85" i="6" l="1"/>
  <c r="D83" i="6"/>
  <c r="D93" i="6" l="1"/>
  <c r="D84" i="6"/>
  <c r="D78" i="6"/>
  <c r="D92" i="6" l="1"/>
  <c r="C84" i="6" l="1"/>
  <c r="C78" i="6"/>
  <c r="E38" i="6" l="1"/>
  <c r="E33" i="8" l="1"/>
  <c r="E31" i="8"/>
  <c r="F138" i="4" l="1"/>
  <c r="D86" i="8" l="1"/>
  <c r="D85" i="8"/>
  <c r="D83" i="8"/>
  <c r="D82" i="8"/>
  <c r="D81" i="8"/>
  <c r="D78" i="8"/>
  <c r="D77" i="8"/>
  <c r="D76" i="8"/>
  <c r="D75" i="8"/>
  <c r="D74" i="8"/>
  <c r="D73" i="8"/>
  <c r="D71" i="8"/>
  <c r="C71" i="8"/>
  <c r="C73" i="8"/>
  <c r="C74" i="8"/>
  <c r="C75" i="8"/>
  <c r="C76" i="8"/>
  <c r="C77" i="8"/>
  <c r="C78" i="8"/>
  <c r="C81" i="8"/>
  <c r="C83" i="8"/>
  <c r="D92" i="3"/>
  <c r="D102" i="3"/>
  <c r="D139" i="4"/>
  <c r="D137" i="4"/>
  <c r="D96" i="3" l="1"/>
  <c r="C97" i="3"/>
  <c r="C95" i="3"/>
  <c r="C92" i="3"/>
  <c r="E71" i="8" l="1"/>
  <c r="E48" i="3" l="1"/>
  <c r="D136" i="4" l="1"/>
  <c r="B44" i="3" l="1"/>
  <c r="E44" i="3" s="1"/>
  <c r="E27" i="3"/>
  <c r="E32" i="6" l="1"/>
  <c r="E39" i="6" s="1"/>
  <c r="E38" i="3" l="1"/>
  <c r="E36" i="3" l="1"/>
  <c r="C135" i="4" l="1"/>
  <c r="E35" i="3"/>
  <c r="B40" i="3" s="1"/>
  <c r="E40" i="3" s="1"/>
  <c r="C86" i="8" l="1"/>
  <c r="C139" i="4"/>
  <c r="C137" i="4"/>
  <c r="C134" i="4"/>
  <c r="E134" i="4" s="1"/>
  <c r="E34" i="3"/>
  <c r="E33" i="3" l="1"/>
  <c r="E63" i="3" s="1"/>
  <c r="C138" i="4" l="1"/>
  <c r="E91" i="4" l="1"/>
  <c r="E87" i="4" l="1"/>
  <c r="E73" i="4" l="1"/>
  <c r="E71" i="4" l="1"/>
  <c r="B71" i="4"/>
  <c r="E61" i="4" l="1"/>
  <c r="B61" i="4"/>
  <c r="E53" i="4" l="1"/>
  <c r="E45" i="4" l="1"/>
  <c r="E43" i="4" l="1"/>
  <c r="E100" i="4" s="1"/>
  <c r="D148" i="4" l="1"/>
  <c r="C87" i="8" l="1"/>
  <c r="E30" i="8" l="1"/>
  <c r="E34" i="8" s="1"/>
  <c r="E103" i="4" l="1"/>
  <c r="E66" i="3" l="1"/>
  <c r="F87" i="8" l="1"/>
  <c r="D87" i="8"/>
  <c r="E86" i="8"/>
  <c r="B86" i="8"/>
  <c r="E85" i="8"/>
  <c r="B85" i="8"/>
  <c r="E84" i="8"/>
  <c r="B84" i="8"/>
  <c r="E83" i="8"/>
  <c r="B83" i="8"/>
  <c r="E82" i="8"/>
  <c r="B82" i="8"/>
  <c r="E81" i="8"/>
  <c r="B81" i="8"/>
  <c r="E80" i="8"/>
  <c r="B80" i="8"/>
  <c r="E79" i="8"/>
  <c r="B79" i="8"/>
  <c r="E78" i="8"/>
  <c r="B78" i="8"/>
  <c r="E77" i="8"/>
  <c r="B77" i="8"/>
  <c r="E76" i="8"/>
  <c r="B76" i="8"/>
  <c r="E75" i="8"/>
  <c r="B75" i="8"/>
  <c r="E74" i="8"/>
  <c r="B74" i="8"/>
  <c r="E73" i="8"/>
  <c r="B73" i="8"/>
  <c r="E72" i="8"/>
  <c r="B72" i="8"/>
  <c r="B71" i="8"/>
  <c r="E37" i="8"/>
  <c r="E114" i="8" s="1"/>
  <c r="E87" i="8" l="1"/>
  <c r="E115" i="8"/>
  <c r="B87" i="8"/>
  <c r="E116" i="8" l="1"/>
  <c r="E118" i="8" s="1"/>
  <c r="F94" i="6" l="1"/>
  <c r="D94" i="6"/>
  <c r="E93" i="6"/>
  <c r="B93" i="6"/>
  <c r="E92" i="6"/>
  <c r="B92" i="6"/>
  <c r="E91" i="6"/>
  <c r="B91" i="6"/>
  <c r="E90" i="6"/>
  <c r="B90" i="6"/>
  <c r="E89" i="6"/>
  <c r="B89" i="6"/>
  <c r="E88" i="6"/>
  <c r="B88" i="6"/>
  <c r="E87" i="6"/>
  <c r="B87" i="6"/>
  <c r="E86" i="6"/>
  <c r="B86" i="6"/>
  <c r="E85" i="6"/>
  <c r="B85" i="6"/>
  <c r="E84" i="6"/>
  <c r="B84" i="6"/>
  <c r="E83" i="6"/>
  <c r="B83" i="6"/>
  <c r="E82" i="6"/>
  <c r="B82" i="6"/>
  <c r="C94" i="6"/>
  <c r="B81" i="6"/>
  <c r="E80" i="6"/>
  <c r="B80" i="6"/>
  <c r="E79" i="6"/>
  <c r="B79" i="6"/>
  <c r="E78" i="6"/>
  <c r="B78" i="6"/>
  <c r="E42" i="6"/>
  <c r="F148" i="4"/>
  <c r="C148" i="4"/>
  <c r="E147" i="4"/>
  <c r="B147" i="4"/>
  <c r="E146" i="4"/>
  <c r="B146" i="4"/>
  <c r="E145" i="4"/>
  <c r="B145" i="4"/>
  <c r="E144" i="4"/>
  <c r="B144" i="4"/>
  <c r="E143" i="4"/>
  <c r="B143" i="4"/>
  <c r="E142" i="4"/>
  <c r="B142" i="4"/>
  <c r="E141" i="4"/>
  <c r="B141" i="4"/>
  <c r="E140" i="4"/>
  <c r="B140" i="4"/>
  <c r="E139" i="4"/>
  <c r="B139" i="4"/>
  <c r="E138" i="4"/>
  <c r="B138" i="4"/>
  <c r="E137" i="4"/>
  <c r="B137" i="4"/>
  <c r="E136" i="4"/>
  <c r="B136" i="4"/>
  <c r="E135" i="4"/>
  <c r="B135" i="4"/>
  <c r="B134" i="4"/>
  <c r="E133" i="4"/>
  <c r="B133" i="4"/>
  <c r="E132" i="4"/>
  <c r="B132" i="4"/>
  <c r="F108" i="3"/>
  <c r="D108" i="3"/>
  <c r="C108" i="3"/>
  <c r="E107" i="3"/>
  <c r="B107" i="3"/>
  <c r="E106" i="3"/>
  <c r="B106" i="3"/>
  <c r="E105" i="3"/>
  <c r="B105" i="3"/>
  <c r="E104" i="3"/>
  <c r="B104" i="3"/>
  <c r="E103" i="3"/>
  <c r="B103" i="3"/>
  <c r="E102" i="3"/>
  <c r="B102" i="3"/>
  <c r="E101" i="3"/>
  <c r="B101" i="3"/>
  <c r="E100" i="3"/>
  <c r="B100" i="3"/>
  <c r="E99" i="3"/>
  <c r="B99" i="3"/>
  <c r="E98" i="3"/>
  <c r="B98" i="3"/>
  <c r="E97" i="3"/>
  <c r="B97" i="3"/>
  <c r="E96" i="3"/>
  <c r="B96" i="3"/>
  <c r="E95" i="3"/>
  <c r="B95" i="3"/>
  <c r="E94" i="3"/>
  <c r="B94" i="3"/>
  <c r="E93" i="3"/>
  <c r="B93" i="3"/>
  <c r="E92" i="3"/>
  <c r="B92" i="3"/>
  <c r="E108" i="3" l="1"/>
  <c r="E132" i="3"/>
  <c r="E133" i="3" s="1"/>
  <c r="E135" i="3" s="1"/>
  <c r="E106" i="4"/>
  <c r="E175" i="4" s="1"/>
  <c r="B108" i="3"/>
  <c r="B94" i="6"/>
  <c r="E122" i="6"/>
  <c r="E123" i="6" s="1"/>
  <c r="E125" i="6" s="1"/>
  <c r="H126" i="6" s="1"/>
  <c r="E148" i="4"/>
  <c r="B148" i="4"/>
  <c r="E45" i="6"/>
  <c r="E121" i="6" s="1"/>
  <c r="E69" i="3"/>
  <c r="E131" i="3" s="1"/>
  <c r="E81" i="6"/>
  <c r="E94" i="6" s="1"/>
  <c r="E176" i="4"/>
  <c r="E177" i="4" s="1"/>
  <c r="E179" i="4" s="1"/>
</calcChain>
</file>

<file path=xl/sharedStrings.xml><?xml version="1.0" encoding="utf-8"?>
<sst xmlns="http://schemas.openxmlformats.org/spreadsheetml/2006/main" count="608" uniqueCount="263">
  <si>
    <t>TOTAL</t>
  </si>
  <si>
    <t>INTEGRAL DAS RECEITAS E DESPESAS - TERMO DE CONVÊNIO</t>
  </si>
  <si>
    <t xml:space="preserve">NECESSITE, OBSERVADA A SISTEMÁTICA DE REFERÊNCIA E CONTRA-REFERÊNCIA DO SISTEMA ÚNICO DE SAÚDE - SUS SEM PREJUÍZO DA </t>
  </si>
  <si>
    <t>OBSERVÂNCIA  DO SISTEMA REGULADOR DE URGÊNCIA E EMERGÊNCIA QUANDO FOR O CASO, NO HOSPITAL REGIONAL DO VALE DO PARAÍBA.</t>
  </si>
  <si>
    <t>DOCUMENTO</t>
  </si>
  <si>
    <t>DATA</t>
  </si>
  <si>
    <t>VIGÊNCIA</t>
  </si>
  <si>
    <t>VALOR - R$</t>
  </si>
  <si>
    <t>DEMONSTRATIVO DOS RECURSOS DISPONÍVEIS NO EXERCÍCIO</t>
  </si>
  <si>
    <t>VALORES PREVISTOS (R$)</t>
  </si>
  <si>
    <t>DATA DO REPASSE</t>
  </si>
  <si>
    <t>NÚMERO DO DOCUMENTO DE CRÉDITO</t>
  </si>
  <si>
    <t>VALORES REPASSADOS (R$)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</si>
  <si>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</si>
  <si>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</si>
  <si>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</si>
  <si>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BENEFICIÁRIA</t>
  </si>
  <si>
    <t>(G) TOTAL DE RECURSOS DISPONIVEIS NO EXERCICIO (E + F)</t>
  </si>
  <si>
    <t>(1) Verba: Federal, Estadual ou Municipal, devendo ser elaborado um anexo para cada fonte de recurso.</t>
  </si>
  <si>
    <t>(2) Incluir valores previstos no exercício anterior a repassados neste exercício.</t>
  </si>
  <si>
    <t>DEMONSTRATIVO DAS DESPESAS INCORRIDAS NO EXERCÍCIO</t>
  </si>
  <si>
    <t>DESPESAS</t>
  </si>
  <si>
    <t>TOTAL DE</t>
  </si>
  <si>
    <t>CATEGORIA OU</t>
  </si>
  <si>
    <t>CONTABILIZADAS</t>
  </si>
  <si>
    <t>FINALIDADE DA</t>
  </si>
  <si>
    <t>EM EXERCÍCIOS</t>
  </si>
  <si>
    <t>NESTE EXERCÍCIO</t>
  </si>
  <si>
    <t>PAGAS</t>
  </si>
  <si>
    <t>NESTE EXERCÍCIO A</t>
  </si>
  <si>
    <t>DESPESA(8)</t>
  </si>
  <si>
    <t>NESTE</t>
  </si>
  <si>
    <t>ANTERIORES E</t>
  </si>
  <si>
    <t>E PAGAS NESTE</t>
  </si>
  <si>
    <t>PAGAR EM</t>
  </si>
  <si>
    <t>EXERCÍCIO (R$)</t>
  </si>
  <si>
    <t>PAGAS NESTE</t>
  </si>
  <si>
    <t>EXERCÍCIO</t>
  </si>
  <si>
    <t>EXERCÍCIOS</t>
  </si>
  <si>
    <t>(I)</t>
  </si>
  <si>
    <t>(R$)</t>
  </si>
  <si>
    <t>SEGUINTES (R$)</t>
  </si>
  <si>
    <t xml:space="preserve">(H) </t>
  </si>
  <si>
    <t>(J=H+I)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</si>
  <si>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</si>
  <si>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</si>
  <si>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</si>
  <si>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</si>
  <si>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</si>
  <si>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</si>
  <si>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Servicos médicos (*)</t>
  </si>
  <si>
    <t>Outros serviços de terceiros</t>
  </si>
  <si>
    <t>Locações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</si>
  <si>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</si>
  <si>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</si>
  <si>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</si>
  <si>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</si>
  <si>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</si>
  <si>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</si>
  <si>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</si>
  <si>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</si>
  <si>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</si>
  <si>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</si>
  <si>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eléltrica, água e esgoto, gás, telefone e internet.</t>
  </si>
  <si>
    <t>(8) No rol exemplificativo incluir também as aquisições e os compromissos assumidos que não são classificados contabilmente como DESPESAS, como,</t>
  </si>
  <si>
    <t>por exemplo, aquisição de bens permanentes.</t>
  </si>
  <si>
    <t>(9) Quando a diferença entre a Coluna DESPESAS CONTABILIZADAS NESTE EXERCICIO e a Coluna DESPESAS CONTABILIZADAS NESTE EXERCICIO</t>
  </si>
  <si>
    <t xml:space="preserve">E PAGAS NESTE EXERCÍCIO for decorrente de descontos obtidos ou pagamento de multa por atraso, o resultado não deve aparecer na coluna DESPESAS </t>
  </si>
  <si>
    <t>CONTABILIZADAS NESTE EXERCÍCIO A PAGAR EM EXERCÍCIOS SEGUINTES, uma vez que tais descontos ou multas são contabilizados em contas de</t>
  </si>
  <si>
    <t>receitas ou despesas. Assim sendo deverá ser indicado como nota de rodapé os valores e as respectivas contas de receitas e despesas.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</si>
  <si>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</si>
  <si>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</si>
  <si>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</si>
  <si>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</si>
  <si>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NAO APLICADO [E-(J-F)]</t>
  </si>
  <si>
    <t>(L) VALOR DEVOLVIDO AO ÓRGÃO PÚBLICO</t>
  </si>
  <si>
    <t>(M) VALOR AUTORIZADO PARA APLICAÇÃO NO EXERCÍCIO SEGUINTE (K-L)</t>
  </si>
  <si>
    <t>Declaro(amos), na qualidade de responsável(is) pela entidade supra epigrafada, sob as penas da Lei, que as despesas relacionadas comprovam a exata aplicação dos recursos recebidos para os fins indicados, conforme programa de trabalho aprovado, proposto ao Órgão Público Convenente.</t>
  </si>
  <si>
    <t>ORIGEM DOS RECURSOS (4): FEDERAL (COVID)</t>
  </si>
  <si>
    <t>06/2022</t>
  </si>
  <si>
    <t>Portaria GM/MS nº 2.336, de 14/09/2021 - Libera, em caráter excepcional, a transferência de recurso financeiro para custeio de leitos de Unidades de Terapia Intensiva - UTI Tipo II Adulto e Pediátrico, a Estados e Municípios, para atendimento exclusivo dos pacientes COVID-19.</t>
  </si>
  <si>
    <t>Parcela Única</t>
  </si>
  <si>
    <t>15/09/2021 D.O.</t>
  </si>
  <si>
    <t>Portaria GM/MS nº 2.730, de 14/10/2021 - Libera, em caráter excepcional, a transferência de recurso financeiro para custeio de leitos das Unidades de Terapia Intensiva - UTI Tipo II Adulto e Pediátrico, dos Estados e Municípios, para atendimento exclusivo dos pacientes COVID-19.</t>
  </si>
  <si>
    <t>18/10/2021 D.O.</t>
  </si>
  <si>
    <t>Portaria GM/MS nº 3.202, de 18/11/2021 - Libera, em caráter excepcional, a transferência de recurso financeiro para custeio de leitos das Unidades de Terapia Intensiva - UTI Tipo II Adulto e Pediátrico e leitos das Unidades de Terapia Intensiva - UTI Tipo II Adulto e Pediátrico (Convertidos), para atendimento exclusivo dos pacientes COVID-19.</t>
  </si>
  <si>
    <t>19/11/2021 D.O.</t>
  </si>
  <si>
    <t>PORTARIA DE AUTORIZAÇÃO</t>
  </si>
  <si>
    <t>Portaria GM/MS nº 3.340, de 01/12/2021 - Libera, em caráter excepcional, a transferência de recurso financeiro para custeio de leitos das Unidades de Terapia Intensiva - UTI Tipo II Adulto e Pediátrico e leitos das Unidades de Terapia Intensiva - UTI Tipo II Adulto e Pediátrico (Convertidos), para atendimento exclusivo dos pacientes COVID-19.</t>
  </si>
  <si>
    <t>02/12/2021 D.O.</t>
  </si>
  <si>
    <t>06/12/2021 D.O.</t>
  </si>
  <si>
    <t>Portaria GM/MS nº 3.374, de 03/12/2021 - Libera, em caráter excepcional, a transferência de recurso financeiro para custeio de leitos de Unidades de Terapia Intensiva - UTI Tipo II Adulto, Pediátrico e Convertidos, de Estados e Municípios, para atendimento exclusivo dos pacientes COVID-19.</t>
  </si>
  <si>
    <t xml:space="preserve">ANEXO RP-12 - REPASSES AO TERCEIRO SETOR - DEMONSTRATIVO  </t>
  </si>
  <si>
    <t>-</t>
  </si>
  <si>
    <t>(F) RECURSOS PROPRIOS DA ENTIDADE BENEFICIÁRIA (3)</t>
  </si>
  <si>
    <t>(K) RECURSO PRIVADA NAO APLICADO [E-(J-F)]</t>
  </si>
  <si>
    <t>Aditamento T.A. Nº 01/2022 - Custeio</t>
  </si>
  <si>
    <t>01/2022</t>
  </si>
  <si>
    <t>02/2022</t>
  </si>
  <si>
    <t>03/2022</t>
  </si>
  <si>
    <t xml:space="preserve">Portaria GM/MS nº 177, de 31/01/2022 - Estabelece a transferência de recursos financeiro a Estados, Distrito Federal e Municipios para o enfretamento das demandas assistenciais geradas pela emergência de saúde pública de importância internacional causada pelo novo Coronavirus. </t>
  </si>
  <si>
    <t>04/2022</t>
  </si>
  <si>
    <t>Aditamento: T.A. nº 02/2022 - Corujão da Saúde Oftalmo</t>
  </si>
  <si>
    <t>05/2022</t>
  </si>
  <si>
    <t>31/03/2022 D.O.</t>
  </si>
  <si>
    <t>Portaria GM/MS nº 679, de 30/03/2022 - Estabelece a transferência de recurso financeiro a Estados, Distrito Federal e Municípios para o enfrentamento das demandas assistenciais geradas pela emergência de saúde pública de importância internacional causada pelo novo Coronavírus.</t>
  </si>
  <si>
    <t>Aditamento T.A. nº 03/2022 - Corujão de Cirurgias Eletivas</t>
  </si>
  <si>
    <t>07/2022</t>
  </si>
  <si>
    <t>Aditamento: T.A. n° 04/2022 - AME X TAUBATÉ REGIONAL</t>
  </si>
  <si>
    <t>2022OB02946</t>
  </si>
  <si>
    <t>2022OB02036</t>
  </si>
  <si>
    <t>2022OB02923</t>
  </si>
  <si>
    <t>2022OB04365</t>
  </si>
  <si>
    <t>2022OB04389</t>
  </si>
  <si>
    <t>2022OB04592</t>
  </si>
  <si>
    <t>2022OB02063</t>
  </si>
  <si>
    <t>2022OB05864</t>
  </si>
  <si>
    <t>2022OB05847</t>
  </si>
  <si>
    <t>2022OB06063</t>
  </si>
  <si>
    <t>2022OB07759</t>
  </si>
  <si>
    <t>2022OB07741</t>
  </si>
  <si>
    <t>2022OB07915</t>
  </si>
  <si>
    <t>2022OB08760</t>
  </si>
  <si>
    <t>2022OB08884</t>
  </si>
  <si>
    <t>2022OB14435</t>
  </si>
  <si>
    <t>2022OB14583</t>
  </si>
  <si>
    <t>2022OB15055</t>
  </si>
  <si>
    <t>2022OB15074</t>
  </si>
  <si>
    <t>2022OB15083</t>
  </si>
  <si>
    <t>2022OB15104</t>
  </si>
  <si>
    <t>2022OB15304</t>
  </si>
  <si>
    <t>2022OB15466</t>
  </si>
  <si>
    <t>2022OB15526</t>
  </si>
  <si>
    <t>2022OB15659</t>
  </si>
  <si>
    <t>2022OB15680</t>
  </si>
  <si>
    <t>2022OB15782</t>
  </si>
  <si>
    <t>2022OB15812</t>
  </si>
  <si>
    <t>2022OB15827</t>
  </si>
  <si>
    <t>28/01/2022 D.O.</t>
  </si>
  <si>
    <t>2022OB08954</t>
  </si>
  <si>
    <t>Portaria GM/MS Nº827, DE 15 DE ABRIL DE 2020 - Inclui o procedimento de complementação de valor de sessão de hemodiálise em pacientes com suspeição ou confirmação de COVID-19 na Tabela de Procedimentos, Medicamentos, Órteses, Próteses e Materiais Especiais do Sistema Único de Saúde - SUS e estabelece recurso do Bloco de Custeio das Ações e Serviços Públicos de Saúde, a ser disponibilizado aos municípios, estados e Distrito Federal, destinado à realização de hemodiálise em pacientes com suspeição ou confirmação de COVID- 19.</t>
  </si>
  <si>
    <t>16/04/2020 D.O.</t>
  </si>
  <si>
    <t>2022OB09183</t>
  </si>
  <si>
    <t>2022OB09256</t>
  </si>
  <si>
    <t>2022OB10068</t>
  </si>
  <si>
    <t>2022OB10247</t>
  </si>
  <si>
    <t>2022OB10269</t>
  </si>
  <si>
    <t xml:space="preserve">Portaria GM/MS nº 1.308, de 30/05/2022 - Estabelece a transferência de recursos financeiro a Estados, Distrito Federal e Municipios para o enfretamento das demandas assistenciais geradas pelo Coronavirus. </t>
  </si>
  <si>
    <t>31/05/2022 D.O</t>
  </si>
  <si>
    <t>Parcela única</t>
  </si>
  <si>
    <t xml:space="preserve">Portaria GM/MS nº 1.329 de 31/05/2022 - Estabelece a transferência de recursos financeiro a Estados, Distrito Federal e Municipios para o enfretamento das demandas assistenciais geradas pelo Coronavirus. </t>
  </si>
  <si>
    <t>01/06/2022 D.O</t>
  </si>
  <si>
    <t>2022OB11438</t>
  </si>
  <si>
    <t>2022OB14488</t>
  </si>
  <si>
    <t>2022OB11643</t>
  </si>
  <si>
    <t>2022OB11848</t>
  </si>
  <si>
    <t>2022OB11935</t>
  </si>
  <si>
    <t>08/06/2022 D.O.</t>
  </si>
  <si>
    <t>24/08/2022 D.O.</t>
  </si>
  <si>
    <t>26/08/2022 D.O.</t>
  </si>
  <si>
    <t>07/09/2022 D.O.</t>
  </si>
  <si>
    <t>2022OB96991</t>
  </si>
  <si>
    <t>2022OB16725</t>
  </si>
  <si>
    <t>2022OB16753</t>
  </si>
  <si>
    <t>2022OB16902</t>
  </si>
  <si>
    <t>01/11/2022 D.O.</t>
  </si>
  <si>
    <t>2022OBB0692</t>
  </si>
  <si>
    <t>2022OB19049</t>
  </si>
  <si>
    <t>2022OB00529</t>
  </si>
  <si>
    <t>2022OB10417</t>
  </si>
  <si>
    <t>2022OB13908</t>
  </si>
  <si>
    <t>01/02/2022 D.O</t>
  </si>
  <si>
    <t>2022OB05147</t>
  </si>
  <si>
    <t>Resolução SS Nº 130, DE 27 DE SETEMBRO DE 2022 - Dispõe sobre o pagamento de valores complementares da produção de cirurgias eletivas, dos 54 procedimentos cirúrgicos eletivos prioritários, de média e alta complexidade realizados nos estabelecimentos de saúde que integram o SUS-SP e dá providencias decorrentes.</t>
  </si>
  <si>
    <t>Resolução SS Nº 111, DE 25 DE AGOSTO DE 2022 - Dispõe sobre o Teto Financeiro de Média e Alta Complexidade Ambulatorial, dos prestadores de serviços sob gestão estadual, nos convênios e contratos firmados no âmbito do SUS-SP, decorrentes dos recursos incorporados ao teto financeiro da assistência e dá outras providências.</t>
  </si>
  <si>
    <t>Resolução SS Nº 110, DE 25 DE AGOSTO DE 2022 - Dispõe sobre o Teto Financeiro de Média e Alta Complexidade Ambulatorial e Hospitalar, dos prestadores de serviços sob gestão estadual, nos convênios e contratos firmados no âmbito do SUS-SP, decorrentes dos recursos incorporados ao teto financeiro da assistência e dá outras providências.</t>
  </si>
  <si>
    <t>2022OB22036</t>
  </si>
  <si>
    <t>2022OB30235</t>
  </si>
  <si>
    <t>2022OB32554</t>
  </si>
  <si>
    <t>2022OB08689</t>
  </si>
  <si>
    <t>2022OB32559</t>
  </si>
  <si>
    <t>2022OB44082</t>
  </si>
  <si>
    <t>2022OB09091</t>
  </si>
  <si>
    <t>2022OB09092</t>
  </si>
  <si>
    <t>2022OB09093</t>
  </si>
  <si>
    <t>2022OB09095</t>
  </si>
  <si>
    <t>2022OB09096</t>
  </si>
  <si>
    <t>2022OB09098</t>
  </si>
  <si>
    <t>2022OB44068</t>
  </si>
  <si>
    <t>2022OB44061</t>
  </si>
  <si>
    <t>Resolução SS Nº 113, DE 25 DE AGOSTO DE 2022 - Dispõe sobre o Teto Financeiro de Média e Alta Complexidade Ambulatorial, dos prestadores de serviços sob gestão estadual, nos convênios e contratos firmados no âmbito do SUS-SP, decorrentes dos recursos incorporados ao teto financeiro da assistência e dá outras providências.</t>
  </si>
  <si>
    <t>Resolução SS Nº 112, DE 25 DE AGOSTO DE 2022 - Dispõe sobre o Teto Financeiro de Média e Alta Complexidade Ambulatorial, dos prestadores de serviços sob gestão estadual, nos convênios e contratos firmados no âmbito do SUS-SP, decorrentes dos recursos incorporados ao teto financeiro da assistência e dá outras providências.</t>
  </si>
  <si>
    <t>Aditamento: T.A. n° 04/2022 - Custeio</t>
  </si>
  <si>
    <t>2022OB57480</t>
  </si>
  <si>
    <t>2022OB60994</t>
  </si>
  <si>
    <t>2022OB57445</t>
  </si>
  <si>
    <t>2022OB57455</t>
  </si>
  <si>
    <t>2022OB60995</t>
  </si>
  <si>
    <t>08/2022</t>
  </si>
  <si>
    <t>2022OB69748</t>
  </si>
  <si>
    <t>2022OB69430</t>
  </si>
  <si>
    <t>2022OB69444</t>
  </si>
  <si>
    <t>Aditamento: T.A. n° 05/2022 - Custeio</t>
  </si>
  <si>
    <t>09/2022</t>
  </si>
  <si>
    <t>2022OB81741</t>
  </si>
  <si>
    <t>2022OB81720</t>
  </si>
  <si>
    <t>2022OB81727</t>
  </si>
  <si>
    <t>10/2022</t>
  </si>
  <si>
    <t>2022OB94222</t>
  </si>
  <si>
    <t>11/2022</t>
  </si>
  <si>
    <t>2022OBA7628</t>
  </si>
  <si>
    <t>2022OBA7618</t>
  </si>
  <si>
    <t>Taubaté-SP, 31/12/2022</t>
  </si>
  <si>
    <t>2022OB14019</t>
  </si>
  <si>
    <t>2022OB14136</t>
  </si>
  <si>
    <t>2022OB94235</t>
  </si>
  <si>
    <t>Portaria 2730</t>
  </si>
  <si>
    <t>Portaria 2336</t>
  </si>
  <si>
    <t>Portaria 3340</t>
  </si>
  <si>
    <t>Portaria 3202</t>
  </si>
  <si>
    <t>Portaria 3374</t>
  </si>
  <si>
    <t>2022OBC2490</t>
  </si>
  <si>
    <t>12/2022</t>
  </si>
  <si>
    <t>Resolução SS Nº 149, DE 31 DE OUTUBRO DE 2022 - Dispõe sobre o pagamento de valores complementares da produção de cirurgias eletivas, dos 54 procedimentos cirúrgicos eletivos prioritários, de média e alta complexidade realizados nos estabelecimentos de saúde que integram o SUS-SP e dá providências correlatas.</t>
  </si>
  <si>
    <t>Aditamento: T.A. n° 06/2022 - EMENDA PARLAMENTAR</t>
  </si>
  <si>
    <t>Aditamento: T.A. n° 07/2022 - INVESTIMENTO (AVCB)</t>
  </si>
  <si>
    <t>2022OBB6802</t>
  </si>
  <si>
    <t>2022OBD4315</t>
  </si>
  <si>
    <t>2022OB19424</t>
  </si>
  <si>
    <t>2022OB19466</t>
  </si>
  <si>
    <t>2022OBC2511</t>
  </si>
  <si>
    <t>2022OB20132</t>
  </si>
  <si>
    <t>2022OB20215</t>
  </si>
  <si>
    <t>2022OB20353</t>
  </si>
  <si>
    <t>2022OBC2501</t>
  </si>
  <si>
    <t>CUSTEIO</t>
  </si>
  <si>
    <t>DATA PREVISTA PARA O REPASSE (2)</t>
  </si>
  <si>
    <t>(A) SALDO DO EXERCÍCIO ANTERIOR</t>
  </si>
  <si>
    <t>(B) REPASSES PÚBLICOS NO EXERCÍCIO</t>
  </si>
  <si>
    <t>(3) Receitas com estacionamento, aluguéis, entre outras.</t>
  </si>
  <si>
    <t>O (s) signatário(s), na qualidade de representante(s) da Sociedade Beneficente São Camilo vem indicar, na forma abaixo detalhada, as despesas incorridas e pagas nos exercícios 2022 bem como as despesas a pagar no exercício seguinte.</t>
  </si>
  <si>
    <r>
      <t xml:space="preserve">ÓRGÃO PÚBLICO CONVENENTE: </t>
    </r>
    <r>
      <rPr>
        <sz val="20"/>
        <color indexed="8"/>
        <rFont val="Arial"/>
        <family val="2"/>
      </rPr>
      <t>SECRETARIA DE ESTADO DA SAÚDE</t>
    </r>
  </si>
  <si>
    <r>
      <t xml:space="preserve">CONVENIADA: </t>
    </r>
    <r>
      <rPr>
        <sz val="20"/>
        <color indexed="8"/>
        <rFont val="Arial"/>
        <family val="2"/>
      </rPr>
      <t>SOCIEDADE BENEFICENTE SÃO CAMILO - HOSPITAL REGIONAL DO VALE DO PARAÍBA</t>
    </r>
  </si>
  <si>
    <r>
      <t xml:space="preserve">CNPJ: </t>
    </r>
    <r>
      <rPr>
        <sz val="20"/>
        <color indexed="8"/>
        <rFont val="Arial"/>
        <family val="2"/>
      </rPr>
      <t>60.975.737/0072-45</t>
    </r>
  </si>
  <si>
    <r>
      <t xml:space="preserve">ENDEREÇO e CEP: </t>
    </r>
    <r>
      <rPr>
        <sz val="20"/>
        <color indexed="8"/>
        <rFont val="Arial"/>
        <family val="2"/>
      </rPr>
      <t>AV. TIRADENTES, 280 - CENTRO - CEP 12.030-180 - TAUBATÉ</t>
    </r>
  </si>
  <si>
    <r>
      <t>RESPONSÁVEL(IS) PELA CONVENIADA:</t>
    </r>
    <r>
      <rPr>
        <sz val="20"/>
        <color indexed="8"/>
        <rFont val="Arial"/>
        <family val="2"/>
      </rPr>
      <t xml:space="preserve"> MATEUS LOCATELLI</t>
    </r>
  </si>
  <si>
    <r>
      <t xml:space="preserve">CPF: </t>
    </r>
    <r>
      <rPr>
        <sz val="20"/>
        <color indexed="8"/>
        <rFont val="Arial"/>
        <family val="2"/>
      </rPr>
      <t>047.394.789/78</t>
    </r>
  </si>
  <si>
    <r>
      <t xml:space="preserve">OBJETO: </t>
    </r>
    <r>
      <rPr>
        <sz val="20"/>
        <color indexed="8"/>
        <rFont val="Arial"/>
        <family val="2"/>
      </rPr>
      <t xml:space="preserve">EXECUÇÃO DE SERVIÇOS MÉDICOS-HOSPITALARES E AMBULATORIAIS A SEREM PRESTADOS A QUALQUER INDIVÍDUO QUE DELES </t>
    </r>
  </si>
  <si>
    <r>
      <t xml:space="preserve">EXERCÍCIO: </t>
    </r>
    <r>
      <rPr>
        <sz val="20"/>
        <color indexed="8"/>
        <rFont val="Arial"/>
        <family val="2"/>
      </rPr>
      <t>JANEIRO A DEZEMBRO/2022</t>
    </r>
  </si>
  <si>
    <r>
      <t xml:space="preserve">ORIGEM DOS RECURSOS (1): </t>
    </r>
    <r>
      <rPr>
        <sz val="20"/>
        <color indexed="8"/>
        <rFont val="Arial"/>
        <family val="2"/>
      </rPr>
      <t>FEDERAL (FUNDES)</t>
    </r>
  </si>
  <si>
    <r>
      <t xml:space="preserve">ORIGEM DOS RECURSOS (4): </t>
    </r>
    <r>
      <rPr>
        <sz val="20"/>
        <color indexed="8"/>
        <rFont val="Arial"/>
        <family val="2"/>
      </rPr>
      <t>FEDERAL (FUNDES)</t>
    </r>
  </si>
  <si>
    <t>Portaria GM/MS Nº160, DE 27 DE JANEIRO DE 2022 - Concede reajuste nos valores dos procedimentos de Diária de Unidade de Terapia Intensiva.</t>
  </si>
  <si>
    <t>Aditamento: T.A. n° 01/2022 -  SUS (Fundo Nacional da Saúde/ MS) Teto Fixo.</t>
  </si>
  <si>
    <t>Resolução SS Nº 52, DE 25 DE MAIO DE 2022 - Dispõe sobre a iniciativa/estratégia de ampliação da oferta de procedimentos cirúrgicos eletivos de
média e de alta complexidade nos estabelecimentos de saúde que integram o SUS-SP e dá providências
correlatas.</t>
  </si>
  <si>
    <t>Resolução SS Nº 107, DE 23 DE AGOSTO DE 2022 - Dispõe sobre o Teto Financeiro de Média e Alta Complexidade Ambulatorial e Hospitalar, dos
prestadores de serviços sob gestão estadual, nos convênios e contratos firmados no âmbito do SUSSP, decorrentes dos recursos incorporados ao teto financeiro da assistência e dá outras providências.</t>
  </si>
  <si>
    <t>Resolução SS Nº 161, DE 30 DE NOVEMBRO DE 2022 - Dispõe sobre o pagamento de valores complementares da produção de cirurgias eletivas, dos 54 procedimentos cirúrgicos eletivos prioritários, de média e alta complexidade realizados nos estabelecimentos de saúde que integram o SUS-SP e dá providencias
correlatas.</t>
  </si>
  <si>
    <t>01/12/2022 D.O.</t>
  </si>
  <si>
    <t>ANEXO RP-12 - REPASSES AO TERCEIRO SETOR - DEMONSTRATIVO</t>
  </si>
  <si>
    <r>
      <t xml:space="preserve">ORIGEM DOS RECURSOS (1): </t>
    </r>
    <r>
      <rPr>
        <sz val="20"/>
        <color indexed="8"/>
        <rFont val="Arial"/>
        <family val="2"/>
      </rPr>
      <t>ESTADUAL - CUSTEIO</t>
    </r>
  </si>
  <si>
    <r>
      <t xml:space="preserve">ORIGEM DOS RECURSOS (4): </t>
    </r>
    <r>
      <rPr>
        <sz val="20"/>
        <color indexed="8"/>
        <rFont val="Arial"/>
        <family val="2"/>
      </rPr>
      <t xml:space="preserve">ESTADUAL - CUSTEIO </t>
    </r>
  </si>
  <si>
    <r>
      <t xml:space="preserve">ORIGEM DOS RECURSOS: </t>
    </r>
    <r>
      <rPr>
        <sz val="20"/>
        <color indexed="8"/>
        <rFont val="Arial"/>
        <family val="2"/>
      </rPr>
      <t>PRÓPRIO</t>
    </r>
  </si>
  <si>
    <r>
      <t xml:space="preserve">ORIGEM DOS RECURSOS (4): </t>
    </r>
    <r>
      <rPr>
        <sz val="20"/>
        <color indexed="8"/>
        <rFont val="Arial"/>
        <family val="2"/>
      </rPr>
      <t xml:space="preserve">PRIVADO </t>
    </r>
  </si>
  <si>
    <r>
      <t xml:space="preserve">ORIGEM DOS RECURSOS (1): </t>
    </r>
    <r>
      <rPr>
        <sz val="20"/>
        <color indexed="8"/>
        <rFont val="Arial"/>
        <family val="2"/>
      </rPr>
      <t>FEDERAL -  ENFRENTAMENTO DECORRENTE DA CORONAVÍRUS - COVID 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</si>
</sst>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0\ ;\-#,##0.00\ ;&quot; -&quot;#\ ;@\ "/>
    <numFmt numFmtId="166" formatCode="d/m;@"/>
    <numFmt numFmtId="167" formatCode="mm/yyyy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4"/>
      <color rgb="FF162937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24"/>
      <color indexed="8"/>
      <name val="Arial"/>
      <family val="2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sz val="9"/>
      <color indexed="8"/>
      <name val="Arial"/>
      <family val="2"/>
    </font>
    <font>
      <b/>
      <sz val="22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color rgb="FF000000"/>
      <name val="Arial"/>
      <family val="2"/>
    </font>
    <font>
      <sz val="20"/>
      <color indexed="10"/>
      <name val="Arial"/>
      <family val="2"/>
    </font>
    <font>
      <sz val="22"/>
      <color indexed="8"/>
      <name val="Arial"/>
      <family val="2"/>
    </font>
    <font>
      <sz val="25"/>
      <color indexed="8"/>
      <name val="Arial"/>
      <family val="2"/>
    </font>
    <font>
      <sz val="23"/>
      <color indexed="8"/>
      <name val="Arial"/>
      <family val="2"/>
    </font>
    <font>
      <b/>
      <sz val="22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4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82">
    <xf numFmtId="0" fontId="0" fillId="0" borderId="0" xfId="0"/>
    <xf numFmtId="164" fontId="2" fillId="0" borderId="0" xfId="2" applyNumberFormat="1" applyFont="1" applyAlignment="1">
      <alignment vertical="center"/>
    </xf>
    <xf numFmtId="164" fontId="2" fillId="0" borderId="0" xfId="2" applyNumberFormat="1" applyFont="1" applyFill="1" applyAlignment="1">
      <alignment vertical="center"/>
    </xf>
    <xf numFmtId="164" fontId="2" fillId="0" borderId="2" xfId="2" applyNumberFormat="1" applyFont="1" applyBorder="1" applyAlignment="1">
      <alignment vertical="center"/>
    </xf>
    <xf numFmtId="43" fontId="3" fillId="0" borderId="0" xfId="2" applyFont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164" fontId="2" fillId="0" borderId="0" xfId="2" applyNumberFormat="1" applyFont="1" applyAlignment="1">
      <alignment horizontal="right" vertical="center"/>
    </xf>
    <xf numFmtId="0" fontId="4" fillId="0" borderId="0" xfId="1" applyFont="1"/>
    <xf numFmtId="43" fontId="5" fillId="0" borderId="0" xfId="2" applyFont="1" applyAlignment="1">
      <alignment horizontal="left" vertical="center"/>
    </xf>
    <xf numFmtId="164" fontId="2" fillId="0" borderId="0" xfId="2" applyNumberFormat="1" applyFont="1"/>
    <xf numFmtId="43" fontId="3" fillId="0" borderId="0" xfId="2" applyFont="1" applyAlignment="1">
      <alignment horizontal="center"/>
    </xf>
    <xf numFmtId="43" fontId="7" fillId="0" borderId="0" xfId="2" applyFont="1"/>
    <xf numFmtId="0" fontId="9" fillId="0" borderId="0" xfId="1" applyFont="1" applyAlignment="1">
      <alignment vertical="center"/>
    </xf>
    <xf numFmtId="43" fontId="10" fillId="0" borderId="0" xfId="4" applyFont="1" applyAlignment="1">
      <alignment vertical="center"/>
    </xf>
    <xf numFmtId="43" fontId="11" fillId="0" borderId="0" xfId="2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49" fontId="15" fillId="0" borderId="0" xfId="1" applyNumberFormat="1" applyFont="1" applyAlignment="1">
      <alignment horizontal="left" vertical="center"/>
    </xf>
    <xf numFmtId="49" fontId="15" fillId="0" borderId="0" xfId="1" applyNumberFormat="1" applyFont="1" applyAlignment="1">
      <alignment horizontal="right" vertical="center"/>
    </xf>
    <xf numFmtId="43" fontId="16" fillId="0" borderId="0" xfId="4" applyFont="1" applyAlignment="1">
      <alignment vertical="center"/>
    </xf>
    <xf numFmtId="49" fontId="17" fillId="0" borderId="0" xfId="1" applyNumberFormat="1" applyFont="1" applyAlignment="1">
      <alignment horizontal="left" vertical="center"/>
    </xf>
    <xf numFmtId="49" fontId="17" fillId="0" borderId="0" xfId="1" applyNumberFormat="1" applyFont="1" applyAlignment="1">
      <alignment horizontal="right" vertical="center"/>
    </xf>
    <xf numFmtId="49" fontId="15" fillId="0" borderId="3" xfId="1" applyNumberFormat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43" fontId="18" fillId="0" borderId="0" xfId="4" applyFont="1" applyFill="1" applyAlignment="1">
      <alignment vertical="center"/>
    </xf>
    <xf numFmtId="43" fontId="19" fillId="0" borderId="0" xfId="2" applyFont="1" applyFill="1" applyAlignment="1">
      <alignment vertical="center"/>
    </xf>
    <xf numFmtId="4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49" fontId="15" fillId="0" borderId="3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 wrapText="1"/>
    </xf>
    <xf numFmtId="43" fontId="7" fillId="0" borderId="0" xfId="4" applyFont="1"/>
    <xf numFmtId="43" fontId="9" fillId="0" borderId="0" xfId="1" applyNumberFormat="1" applyFont="1" applyAlignment="1">
      <alignment vertical="center"/>
    </xf>
    <xf numFmtId="43" fontId="9" fillId="0" borderId="0" xfId="2" applyFont="1" applyAlignment="1">
      <alignment vertical="center"/>
    </xf>
    <xf numFmtId="49" fontId="11" fillId="0" borderId="0" xfId="1" applyNumberFormat="1" applyFont="1" applyAlignment="1">
      <alignment horizontal="left" vertical="center"/>
    </xf>
    <xf numFmtId="49" fontId="11" fillId="0" borderId="0" xfId="1" applyNumberFormat="1" applyFont="1" applyAlignment="1">
      <alignment horizontal="right" vertical="center"/>
    </xf>
    <xf numFmtId="43" fontId="9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" fontId="11" fillId="0" borderId="0" xfId="1" applyNumberFormat="1" applyFont="1" applyAlignment="1">
      <alignment horizontal="left" vertical="center" wrapText="1"/>
    </xf>
    <xf numFmtId="49" fontId="15" fillId="0" borderId="9" xfId="1" applyNumberFormat="1" applyFont="1" applyBorder="1" applyAlignment="1">
      <alignment horizontal="left" vertical="center"/>
    </xf>
    <xf numFmtId="49" fontId="15" fillId="0" borderId="4" xfId="1" applyNumberFormat="1" applyFont="1" applyBorder="1" applyAlignment="1">
      <alignment horizontal="right" vertical="center"/>
    </xf>
    <xf numFmtId="0" fontId="15" fillId="0" borderId="10" xfId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0" borderId="11" xfId="1" applyFont="1" applyBorder="1" applyAlignment="1">
      <alignment vertical="center"/>
    </xf>
    <xf numFmtId="0" fontId="15" fillId="0" borderId="0" xfId="1" applyFont="1" applyAlignment="1">
      <alignment horizontal="right" vertical="center"/>
    </xf>
    <xf numFmtId="49" fontId="15" fillId="0" borderId="11" xfId="1" applyNumberFormat="1" applyFont="1" applyBorder="1" applyAlignment="1">
      <alignment horizontal="center" vertical="center"/>
    </xf>
    <xf numFmtId="0" fontId="15" fillId="0" borderId="11" xfId="1" applyFont="1" applyBorder="1" applyAlignment="1">
      <alignment horizontal="right" vertical="center"/>
    </xf>
    <xf numFmtId="0" fontId="15" fillId="0" borderId="11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left" vertical="center"/>
    </xf>
    <xf numFmtId="164" fontId="9" fillId="0" borderId="1" xfId="2" applyNumberFormat="1" applyFont="1" applyFill="1" applyBorder="1" applyAlignment="1" applyProtection="1">
      <alignment horizontal="right" vertical="center"/>
    </xf>
    <xf numFmtId="164" fontId="9" fillId="0" borderId="3" xfId="2" applyNumberFormat="1" applyFont="1" applyFill="1" applyBorder="1" applyAlignment="1" applyProtection="1">
      <alignment horizontal="right" vertical="center"/>
    </xf>
    <xf numFmtId="164" fontId="2" fillId="0" borderId="3" xfId="2" applyNumberFormat="1" applyFont="1" applyFill="1" applyBorder="1" applyAlignment="1" applyProtection="1">
      <alignment horizontal="right" vertical="center"/>
    </xf>
    <xf numFmtId="49" fontId="9" fillId="0" borderId="3" xfId="1" applyNumberFormat="1" applyFont="1" applyBorder="1" applyAlignment="1">
      <alignment horizontal="left" vertical="center" wrapText="1"/>
    </xf>
    <xf numFmtId="43" fontId="10" fillId="0" borderId="0" xfId="4" applyFont="1" applyFill="1" applyAlignment="1">
      <alignment vertical="center"/>
    </xf>
    <xf numFmtId="43" fontId="11" fillId="0" borderId="0" xfId="2" applyFont="1" applyFill="1" applyAlignment="1">
      <alignment vertical="center"/>
    </xf>
    <xf numFmtId="49" fontId="15" fillId="0" borderId="3" xfId="1" applyNumberFormat="1" applyFont="1" applyBorder="1" applyAlignment="1">
      <alignment vertical="center"/>
    </xf>
    <xf numFmtId="164" fontId="15" fillId="0" borderId="3" xfId="2" applyNumberFormat="1" applyFont="1" applyFill="1" applyBorder="1" applyAlignment="1" applyProtection="1">
      <alignment horizontal="right" vertical="center"/>
    </xf>
    <xf numFmtId="49" fontId="9" fillId="0" borderId="0" xfId="1" applyNumberFormat="1" applyFont="1" applyAlignment="1">
      <alignment horizontal="right" vertical="center"/>
    </xf>
    <xf numFmtId="43" fontId="22" fillId="0" borderId="0" xfId="2" applyFont="1" applyAlignment="1">
      <alignment vertical="center"/>
    </xf>
    <xf numFmtId="43" fontId="11" fillId="0" borderId="0" xfId="2" applyFont="1" applyAlignment="1">
      <alignment horizontal="right" vertical="center"/>
    </xf>
    <xf numFmtId="43" fontId="23" fillId="0" borderId="0" xfId="2" applyFont="1" applyAlignment="1">
      <alignment horizontal="right" vertical="center"/>
    </xf>
    <xf numFmtId="43" fontId="9" fillId="0" borderId="0" xfId="2" applyFont="1" applyAlignment="1">
      <alignment horizontal="right" vertical="center"/>
    </xf>
    <xf numFmtId="43" fontId="23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166" fontId="11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43" fontId="11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49" fontId="24" fillId="0" borderId="0" xfId="1" applyNumberFormat="1" applyFont="1" applyAlignment="1">
      <alignment horizontal="left" vertical="center" wrapText="1"/>
    </xf>
    <xf numFmtId="49" fontId="24" fillId="0" borderId="0" xfId="1" applyNumberFormat="1" applyFont="1" applyAlignment="1">
      <alignment horizontal="right" vertical="center" wrapText="1"/>
    </xf>
    <xf numFmtId="49" fontId="9" fillId="0" borderId="0" xfId="1" applyNumberFormat="1" applyFont="1" applyAlignment="1">
      <alignment horizontal="right" vertical="center" wrapText="1"/>
    </xf>
    <xf numFmtId="49" fontId="24" fillId="0" borderId="0" xfId="1" applyNumberFormat="1" applyFont="1" applyAlignment="1">
      <alignment vertical="center"/>
    </xf>
    <xf numFmtId="0" fontId="24" fillId="0" borderId="0" xfId="1" applyFont="1" applyAlignment="1">
      <alignment horizontal="right" vertical="center"/>
    </xf>
    <xf numFmtId="164" fontId="9" fillId="0" borderId="0" xfId="2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0" fontId="14" fillId="0" borderId="0" xfId="1" applyFont="1" applyAlignment="1">
      <alignment horizontal="right"/>
    </xf>
    <xf numFmtId="0" fontId="8" fillId="0" borderId="0" xfId="1" applyFont="1"/>
    <xf numFmtId="0" fontId="12" fillId="0" borderId="0" xfId="1" applyFont="1"/>
    <xf numFmtId="0" fontId="8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43" fontId="13" fillId="0" borderId="0" xfId="2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3" fontId="23" fillId="0" borderId="0" xfId="2" applyFont="1" applyAlignment="1">
      <alignment vertical="center"/>
    </xf>
    <xf numFmtId="43" fontId="13" fillId="0" borderId="0" xfId="2" applyFont="1" applyFill="1" applyAlignment="1">
      <alignment vertical="center"/>
    </xf>
    <xf numFmtId="14" fontId="2" fillId="0" borderId="3" xfId="1" applyNumberFormat="1" applyFont="1" applyFill="1" applyBorder="1" applyAlignment="1">
      <alignment horizontal="center" vertical="center"/>
    </xf>
    <xf numFmtId="43" fontId="25" fillId="0" borderId="0" xfId="2" applyFont="1" applyFill="1" applyAlignment="1">
      <alignment vertical="center"/>
    </xf>
    <xf numFmtId="49" fontId="9" fillId="0" borderId="5" xfId="1" applyNumberFormat="1" applyFont="1" applyBorder="1" applyAlignment="1">
      <alignment horizontal="center" vertical="center"/>
    </xf>
    <xf numFmtId="164" fontId="9" fillId="0" borderId="5" xfId="2" applyNumberFormat="1" applyFont="1" applyFill="1" applyBorder="1" applyAlignment="1" applyProtection="1">
      <alignment horizontal="center" vertical="center"/>
    </xf>
    <xf numFmtId="14" fontId="3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43" fontId="15" fillId="0" borderId="0" xfId="2" applyFont="1" applyAlignment="1">
      <alignment vertical="center"/>
    </xf>
    <xf numFmtId="0" fontId="26" fillId="0" borderId="0" xfId="1" applyFont="1" applyAlignment="1">
      <alignment vertical="center"/>
    </xf>
    <xf numFmtId="43" fontId="13" fillId="0" borderId="0" xfId="2" applyFont="1" applyFill="1" applyBorder="1" applyAlignment="1" applyProtection="1">
      <alignment vertical="center"/>
    </xf>
    <xf numFmtId="49" fontId="11" fillId="0" borderId="0" xfId="1" applyNumberFormat="1" applyFont="1" applyAlignment="1">
      <alignment vertical="center"/>
    </xf>
    <xf numFmtId="43" fontId="9" fillId="0" borderId="0" xfId="2" applyFont="1"/>
    <xf numFmtId="49" fontId="13" fillId="0" borderId="0" xfId="1" applyNumberFormat="1" applyFont="1" applyAlignment="1">
      <alignment horizontal="left" vertical="center" indent="26"/>
    </xf>
    <xf numFmtId="49" fontId="13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14" fontId="2" fillId="0" borderId="3" xfId="3" applyNumberFormat="1" applyFont="1" applyFill="1" applyBorder="1" applyAlignment="1">
      <alignment horizontal="center" vertical="center"/>
    </xf>
    <xf numFmtId="43" fontId="2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64" fontId="2" fillId="0" borderId="0" xfId="2" applyNumberFormat="1" applyFont="1" applyFill="1" applyBorder="1" applyAlignment="1" applyProtection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 applyProtection="1">
      <alignment horizontal="center" vertical="center"/>
    </xf>
    <xf numFmtId="165" fontId="9" fillId="0" borderId="0" xfId="1" applyNumberFormat="1" applyFont="1" applyBorder="1" applyAlignment="1">
      <alignment horizontal="right" vertical="center"/>
    </xf>
    <xf numFmtId="164" fontId="15" fillId="0" borderId="0" xfId="2" applyNumberFormat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43" fontId="15" fillId="0" borderId="0" xfId="2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164" fontId="2" fillId="0" borderId="0" xfId="2" applyNumberFormat="1" applyFont="1" applyFill="1" applyBorder="1" applyAlignment="1" applyProtection="1">
      <alignment horizontal="right" vertical="center"/>
    </xf>
    <xf numFmtId="164" fontId="15" fillId="0" borderId="0" xfId="2" applyNumberFormat="1" applyFont="1" applyFill="1" applyBorder="1" applyAlignment="1" applyProtection="1">
      <alignment horizontal="right" vertical="center"/>
    </xf>
    <xf numFmtId="165" fontId="15" fillId="0" borderId="0" xfId="1" applyNumberFormat="1" applyFont="1" applyBorder="1" applyAlignment="1">
      <alignment horizontal="right" vertical="center"/>
    </xf>
    <xf numFmtId="49" fontId="9" fillId="0" borderId="5" xfId="1" applyNumberFormat="1" applyFont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/>
    </xf>
    <xf numFmtId="0" fontId="26" fillId="0" borderId="0" xfId="1" applyFont="1"/>
    <xf numFmtId="0" fontId="9" fillId="0" borderId="0" xfId="1" applyFont="1"/>
    <xf numFmtId="43" fontId="23" fillId="0" borderId="0" xfId="2" applyFont="1"/>
    <xf numFmtId="43" fontId="13" fillId="0" borderId="0" xfId="2" applyFont="1"/>
    <xf numFmtId="0" fontId="9" fillId="0" borderId="0" xfId="1" applyFont="1" applyAlignment="1">
      <alignment horizontal="right"/>
    </xf>
    <xf numFmtId="14" fontId="9" fillId="0" borderId="3" xfId="1" applyNumberFormat="1" applyFont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43" fontId="9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</xf>
    <xf numFmtId="164" fontId="9" fillId="0" borderId="3" xfId="2" applyNumberFormat="1" applyFont="1" applyFill="1" applyBorder="1" applyAlignment="1" applyProtection="1">
      <alignment vertical="center"/>
    </xf>
    <xf numFmtId="49" fontId="9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43" fontId="9" fillId="0" borderId="0" xfId="1" applyNumberFormat="1" applyFont="1"/>
    <xf numFmtId="49" fontId="11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/>
    <xf numFmtId="1" fontId="11" fillId="0" borderId="0" xfId="1" applyNumberFormat="1" applyFont="1" applyAlignment="1">
      <alignment horizontal="left" vertical="top" wrapText="1"/>
    </xf>
    <xf numFmtId="0" fontId="15" fillId="0" borderId="5" xfId="1" applyFont="1" applyBorder="1"/>
    <xf numFmtId="0" fontId="15" fillId="0" borderId="0" xfId="1" applyFont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center"/>
    </xf>
    <xf numFmtId="0" fontId="15" fillId="0" borderId="10" xfId="1" applyFont="1" applyBorder="1"/>
    <xf numFmtId="0" fontId="21" fillId="0" borderId="0" xfId="1" applyFont="1" applyAlignment="1">
      <alignment horizontal="center"/>
    </xf>
    <xf numFmtId="0" fontId="15" fillId="0" borderId="11" xfId="1" applyFont="1" applyBorder="1"/>
    <xf numFmtId="0" fontId="15" fillId="0" borderId="0" xfId="1" applyFont="1" applyAlignment="1">
      <alignment horizontal="right"/>
    </xf>
    <xf numFmtId="49" fontId="15" fillId="0" borderId="11" xfId="1" applyNumberFormat="1" applyFont="1" applyBorder="1" applyAlignment="1">
      <alignment horizontal="center"/>
    </xf>
    <xf numFmtId="0" fontId="15" fillId="0" borderId="11" xfId="1" applyFont="1" applyBorder="1" applyAlignment="1">
      <alignment horizontal="right"/>
    </xf>
    <xf numFmtId="0" fontId="15" fillId="0" borderId="11" xfId="1" applyFont="1" applyBorder="1" applyAlignment="1">
      <alignment horizontal="center"/>
    </xf>
    <xf numFmtId="49" fontId="9" fillId="0" borderId="3" xfId="1" applyNumberFormat="1" applyFont="1" applyBorder="1" applyAlignment="1">
      <alignment horizontal="left" vertical="top" wrapText="1"/>
    </xf>
    <xf numFmtId="164" fontId="2" fillId="0" borderId="3" xfId="2" applyNumberFormat="1" applyFont="1" applyFill="1" applyBorder="1" applyAlignment="1">
      <alignment horizontal="right"/>
    </xf>
    <xf numFmtId="164" fontId="15" fillId="0" borderId="1" xfId="2" applyNumberFormat="1" applyFont="1" applyFill="1" applyBorder="1" applyAlignment="1" applyProtection="1">
      <alignment horizontal="right" vertical="center"/>
    </xf>
    <xf numFmtId="164" fontId="27" fillId="0" borderId="3" xfId="2" applyNumberFormat="1" applyFont="1" applyFill="1" applyBorder="1" applyAlignment="1" applyProtection="1">
      <alignment horizontal="right" vertical="center"/>
    </xf>
    <xf numFmtId="43" fontId="9" fillId="0" borderId="0" xfId="1" applyNumberFormat="1" applyFont="1" applyAlignment="1">
      <alignment horizontal="center" vertical="center"/>
    </xf>
    <xf numFmtId="43" fontId="22" fillId="0" borderId="0" xfId="1" applyNumberFormat="1" applyFont="1" applyAlignment="1">
      <alignment vertical="center"/>
    </xf>
    <xf numFmtId="43" fontId="9" fillId="0" borderId="0" xfId="2" applyFont="1" applyFill="1" applyAlignment="1">
      <alignment horizontal="right" vertical="center"/>
    </xf>
    <xf numFmtId="43" fontId="11" fillId="0" borderId="0" xfId="1" applyNumberFormat="1" applyFont="1" applyAlignment="1">
      <alignment horizontal="right" vertical="center"/>
    </xf>
    <xf numFmtId="43" fontId="11" fillId="0" borderId="0" xfId="2" applyFont="1" applyFill="1" applyAlignment="1">
      <alignment horizontal="right" vertical="center"/>
    </xf>
    <xf numFmtId="0" fontId="11" fillId="0" borderId="0" xfId="1" applyFont="1" applyAlignment="1">
      <alignment horizontal="left"/>
    </xf>
    <xf numFmtId="166" fontId="11" fillId="0" borderId="0" xfId="1" applyNumberFormat="1" applyFont="1" applyAlignment="1">
      <alignment horizontal="left"/>
    </xf>
    <xf numFmtId="43" fontId="11" fillId="0" borderId="0" xfId="1" applyNumberFormat="1" applyFont="1" applyAlignment="1">
      <alignment horizontal="left"/>
    </xf>
    <xf numFmtId="0" fontId="14" fillId="0" borderId="0" xfId="1" applyFont="1" applyAlignment="1">
      <alignment horizontal="left"/>
    </xf>
    <xf numFmtId="0" fontId="28" fillId="0" borderId="0" xfId="1" applyFont="1"/>
    <xf numFmtId="0" fontId="28" fillId="0" borderId="0" xfId="1" applyFont="1" applyAlignment="1">
      <alignment horizontal="right"/>
    </xf>
    <xf numFmtId="0" fontId="11" fillId="0" borderId="0" xfId="1" applyFont="1" applyAlignment="1">
      <alignment horizontal="left" vertical="top" wrapText="1"/>
    </xf>
    <xf numFmtId="0" fontId="24" fillId="0" borderId="0" xfId="1" applyFont="1"/>
    <xf numFmtId="0" fontId="24" fillId="0" borderId="0" xfId="1" applyFont="1" applyAlignment="1">
      <alignment horizontal="right"/>
    </xf>
    <xf numFmtId="164" fontId="24" fillId="0" borderId="0" xfId="2" applyNumberFormat="1" applyFont="1" applyAlignment="1">
      <alignment horizontal="right"/>
    </xf>
    <xf numFmtId="164" fontId="24" fillId="0" borderId="0" xfId="2" applyNumberFormat="1" applyFont="1" applyFill="1" applyAlignment="1">
      <alignment horizontal="right"/>
    </xf>
    <xf numFmtId="0" fontId="14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164" fontId="9" fillId="0" borderId="5" xfId="2" applyNumberFormat="1" applyFont="1" applyFill="1" applyBorder="1" applyAlignment="1" applyProtection="1">
      <alignment horizontal="center" vertical="center"/>
    </xf>
    <xf numFmtId="164" fontId="9" fillId="0" borderId="5" xfId="2" applyNumberFormat="1" applyFont="1" applyFill="1" applyBorder="1" applyAlignment="1" applyProtection="1">
      <alignment horizontal="center" vertical="center"/>
    </xf>
    <xf numFmtId="164" fontId="9" fillId="0" borderId="0" xfId="2" applyNumberFormat="1" applyFont="1" applyFill="1" applyBorder="1" applyAlignment="1" applyProtection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29" fillId="0" borderId="3" xfId="1" applyNumberFormat="1" applyFont="1" applyFill="1" applyBorder="1" applyAlignment="1">
      <alignment horizontal="center" vertical="center"/>
    </xf>
    <xf numFmtId="1" fontId="29" fillId="0" borderId="5" xfId="1" applyNumberFormat="1" applyFont="1" applyBorder="1" applyAlignment="1">
      <alignment horizontal="center" vertical="center"/>
    </xf>
    <xf numFmtId="1" fontId="29" fillId="0" borderId="3" xfId="1" applyNumberFormat="1" applyFont="1" applyBorder="1" applyAlignment="1">
      <alignment horizontal="center" vertical="center"/>
    </xf>
    <xf numFmtId="14" fontId="29" fillId="0" borderId="2" xfId="1" applyNumberFormat="1" applyFont="1" applyFill="1" applyBorder="1" applyAlignment="1">
      <alignment horizontal="center" vertical="center"/>
    </xf>
    <xf numFmtId="1" fontId="29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3" fontId="2" fillId="0" borderId="1" xfId="3" applyNumberFormat="1" applyFont="1" applyFill="1" applyBorder="1" applyAlignment="1" applyProtection="1">
      <alignment horizontal="center" vertical="center"/>
    </xf>
    <xf numFmtId="43" fontId="2" fillId="0" borderId="2" xfId="3" applyNumberFormat="1" applyFont="1" applyFill="1" applyBorder="1" applyAlignment="1" applyProtection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 vertical="center"/>
    </xf>
    <xf numFmtId="164" fontId="2" fillId="0" borderId="2" xfId="2" applyNumberFormat="1" applyFont="1" applyFill="1" applyBorder="1" applyAlignment="1" applyProtection="1">
      <alignment horizontal="center" vertical="center"/>
    </xf>
    <xf numFmtId="164" fontId="9" fillId="0" borderId="6" xfId="2" applyNumberFormat="1" applyFont="1" applyFill="1" applyBorder="1" applyAlignment="1" applyProtection="1">
      <alignment horizontal="center" vertical="center"/>
    </xf>
    <xf numFmtId="164" fontId="9" fillId="0" borderId="8" xfId="2" applyNumberFormat="1" applyFont="1" applyFill="1" applyBorder="1" applyAlignment="1" applyProtection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167" fontId="9" fillId="0" borderId="5" xfId="1" applyNumberFormat="1" applyFont="1" applyBorder="1" applyAlignment="1">
      <alignment horizontal="center" vertical="center"/>
    </xf>
    <xf numFmtId="167" fontId="9" fillId="0" borderId="10" xfId="1" applyNumberFormat="1" applyFont="1" applyBorder="1" applyAlignment="1">
      <alignment horizontal="center" vertical="center"/>
    </xf>
    <xf numFmtId="43" fontId="20" fillId="0" borderId="5" xfId="4" applyFont="1" applyFill="1" applyBorder="1" applyAlignment="1">
      <alignment horizontal="center" vertical="center"/>
    </xf>
    <xf numFmtId="43" fontId="20" fillId="0" borderId="10" xfId="4" applyFont="1" applyFill="1" applyBorder="1" applyAlignment="1">
      <alignment horizontal="center" vertical="center"/>
    </xf>
    <xf numFmtId="43" fontId="20" fillId="0" borderId="11" xfId="4" applyFont="1" applyFill="1" applyBorder="1" applyAlignment="1">
      <alignment horizontal="center" vertical="center"/>
    </xf>
    <xf numFmtId="164" fontId="9" fillId="0" borderId="12" xfId="2" applyNumberFormat="1" applyFont="1" applyFill="1" applyBorder="1" applyAlignment="1" applyProtection="1">
      <alignment horizontal="center" vertical="center"/>
    </xf>
    <xf numFmtId="164" fontId="9" fillId="0" borderId="13" xfId="2" applyNumberFormat="1" applyFont="1" applyFill="1" applyBorder="1" applyAlignment="1" applyProtection="1">
      <alignment horizontal="center" vertical="center"/>
    </xf>
    <xf numFmtId="164" fontId="9" fillId="0" borderId="5" xfId="2" applyNumberFormat="1" applyFont="1" applyFill="1" applyBorder="1" applyAlignment="1" applyProtection="1">
      <alignment vertical="center"/>
    </xf>
    <xf numFmtId="164" fontId="9" fillId="0" borderId="10" xfId="2" applyNumberFormat="1" applyFont="1" applyFill="1" applyBorder="1" applyAlignment="1" applyProtection="1">
      <alignment vertical="center"/>
    </xf>
    <xf numFmtId="164" fontId="9" fillId="0" borderId="11" xfId="2" applyNumberFormat="1" applyFont="1" applyFill="1" applyBorder="1" applyAlignment="1" applyProtection="1">
      <alignment vertical="center"/>
    </xf>
    <xf numFmtId="164" fontId="9" fillId="0" borderId="14" xfId="2" applyNumberFormat="1" applyFont="1" applyFill="1" applyBorder="1" applyAlignment="1" applyProtection="1">
      <alignment horizontal="center" vertical="center"/>
    </xf>
    <xf numFmtId="164" fontId="9" fillId="0" borderId="15" xfId="2" applyNumberFormat="1" applyFont="1" applyFill="1" applyBorder="1" applyAlignment="1" applyProtection="1">
      <alignment horizontal="center" vertical="center"/>
    </xf>
    <xf numFmtId="167" fontId="9" fillId="0" borderId="11" xfId="1" applyNumberFormat="1" applyFont="1" applyBorder="1" applyAlignment="1">
      <alignment horizontal="center" vertical="center"/>
    </xf>
    <xf numFmtId="164" fontId="9" fillId="0" borderId="5" xfId="2" applyNumberFormat="1" applyFont="1" applyFill="1" applyBorder="1" applyAlignment="1" applyProtection="1">
      <alignment horizontal="center" vertical="center"/>
    </xf>
    <xf numFmtId="164" fontId="9" fillId="0" borderId="10" xfId="2" applyNumberFormat="1" applyFont="1" applyFill="1" applyBorder="1" applyAlignment="1" applyProtection="1">
      <alignment horizontal="center" vertical="center"/>
    </xf>
    <xf numFmtId="164" fontId="9" fillId="0" borderId="11" xfId="2" applyNumberFormat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left" vertical="center"/>
    </xf>
    <xf numFmtId="1" fontId="11" fillId="0" borderId="0" xfId="1" applyNumberFormat="1" applyFont="1" applyAlignment="1">
      <alignment horizontal="left" vertical="center" wrapText="1"/>
    </xf>
    <xf numFmtId="49" fontId="15" fillId="0" borderId="6" xfId="1" applyNumberFormat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15" fillId="0" borderId="8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4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2" xfId="1" applyNumberFormat="1" applyFont="1" applyBorder="1" applyAlignment="1">
      <alignment horizontal="right" vertical="center"/>
    </xf>
    <xf numFmtId="165" fontId="15" fillId="0" borderId="1" xfId="1" applyNumberFormat="1" applyFont="1" applyBorder="1" applyAlignment="1">
      <alignment horizontal="right" vertical="center"/>
    </xf>
    <xf numFmtId="165" fontId="15" fillId="0" borderId="2" xfId="1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15" fillId="0" borderId="1" xfId="2" applyNumberFormat="1" applyFont="1" applyFill="1" applyBorder="1" applyAlignment="1" applyProtection="1">
      <alignment horizontal="right" vertical="center"/>
    </xf>
    <xf numFmtId="164" fontId="15" fillId="0" borderId="2" xfId="2" applyNumberFormat="1" applyFont="1" applyFill="1" applyBorder="1" applyAlignment="1" applyProtection="1">
      <alignment horizontal="right" vertical="center"/>
    </xf>
    <xf numFmtId="164" fontId="15" fillId="0" borderId="3" xfId="2" applyNumberFormat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3" fontId="15" fillId="0" borderId="3" xfId="2" applyFont="1" applyBorder="1" applyAlignment="1">
      <alignment horizontal="right" vertical="center"/>
    </xf>
    <xf numFmtId="49" fontId="15" fillId="0" borderId="3" xfId="1" applyNumberFormat="1" applyFont="1" applyBorder="1" applyAlignment="1">
      <alignment horizontal="center" vertical="center" wrapText="1"/>
    </xf>
    <xf numFmtId="164" fontId="9" fillId="0" borderId="0" xfId="2" applyNumberFormat="1" applyFont="1" applyFill="1" applyBorder="1" applyAlignment="1" applyProtection="1">
      <alignment horizontal="center" vertical="center"/>
    </xf>
    <xf numFmtId="164" fontId="9" fillId="0" borderId="12" xfId="2" applyNumberFormat="1" applyFont="1" applyFill="1" applyBorder="1" applyAlignment="1" applyProtection="1">
      <alignment vertical="center"/>
    </xf>
    <xf numFmtId="49" fontId="13" fillId="0" borderId="0" xfId="1" applyNumberFormat="1" applyFont="1" applyAlignment="1">
      <alignment horizontal="center" vertical="center"/>
    </xf>
    <xf numFmtId="49" fontId="15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9" fillId="0" borderId="2" xfId="2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164" fontId="2" fillId="0" borderId="4" xfId="2" applyNumberFormat="1" applyFont="1" applyFill="1" applyBorder="1" applyAlignment="1" applyProtection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5" xfId="1" applyNumberFormat="1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6" xfId="3" applyNumberFormat="1" applyFont="1" applyFill="1" applyBorder="1" applyAlignment="1">
      <alignment horizontal="center" vertical="center"/>
    </xf>
    <xf numFmtId="14" fontId="2" fillId="0" borderId="14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6" xfId="1" applyNumberFormat="1" applyFont="1" applyBorder="1" applyAlignment="1">
      <alignment horizontal="left" vertical="center"/>
    </xf>
    <xf numFmtId="49" fontId="9" fillId="0" borderId="15" xfId="1" applyNumberFormat="1" applyFont="1" applyBorder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5" fontId="15" fillId="0" borderId="3" xfId="1" applyNumberFormat="1" applyFont="1" applyBorder="1" applyAlignment="1">
      <alignment horizontal="right" vertical="center"/>
    </xf>
    <xf numFmtId="49" fontId="15" fillId="0" borderId="1" xfId="1" applyNumberFormat="1" applyFont="1" applyBorder="1" applyAlignment="1">
      <alignment horizontal="left" vertical="center"/>
    </xf>
    <xf numFmtId="49" fontId="15" fillId="0" borderId="4" xfId="1" applyNumberFormat="1" applyFont="1" applyBorder="1" applyAlignment="1">
      <alignment horizontal="left" vertical="center"/>
    </xf>
    <xf numFmtId="49" fontId="15" fillId="0" borderId="2" xfId="1" applyNumberFormat="1" applyFont="1" applyBorder="1" applyAlignment="1">
      <alignment horizontal="left" vertical="center"/>
    </xf>
    <xf numFmtId="49" fontId="9" fillId="0" borderId="3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164" fontId="9" fillId="3" borderId="3" xfId="2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Alignment="1">
      <alignment horizontal="center" vertical="justify"/>
    </xf>
    <xf numFmtId="49" fontId="15" fillId="0" borderId="0" xfId="1" applyNumberFormat="1" applyFont="1" applyAlignment="1">
      <alignment horizontal="left" vertical="justify"/>
    </xf>
  </cellXfs>
  <cellStyles count="5">
    <cellStyle name="Normal" xfId="0" builtinId="0"/>
    <cellStyle name="Normal 2" xfId="1"/>
    <cellStyle name="Vírgula" xfId="4" builtinId="3"/>
    <cellStyle name="Vírgula 3" xfId="2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8"/>
  <sheetViews>
    <sheetView tabSelected="1" zoomScale="50" zoomScaleNormal="50" zoomScaleSheetLayoutView="50" workbookViewId="0">
      <selection activeCell="F11" sqref="F11"/>
    </sheetView>
  </sheetViews>
  <sheetFormatPr defaultColWidth="0" defaultRowHeight="27.75" x14ac:dyDescent="0.25"/>
  <cols>
    <col min="1" max="1" width="44.140625" style="16" customWidth="1"/>
    <col min="2" max="2" width="57.28515625" style="17" customWidth="1"/>
    <col min="3" max="3" width="36.7109375" style="17" customWidth="1"/>
    <col min="4" max="4" width="39.28515625" style="17" customWidth="1"/>
    <col min="5" max="5" width="44.140625" style="18" customWidth="1"/>
    <col min="6" max="6" width="44.140625" style="1" customWidth="1"/>
    <col min="7" max="7" width="37.42578125" style="88" customWidth="1"/>
    <col min="8" max="8" width="18.85546875" style="15" customWidth="1"/>
    <col min="9" max="9" width="27.42578125" style="15" bestFit="1" customWidth="1"/>
    <col min="10" max="14" width="9.140625" style="15" customWidth="1"/>
    <col min="15" max="15" width="1.7109375" style="15" customWidth="1"/>
    <col min="16" max="27" width="9.140625" style="15" customWidth="1"/>
    <col min="28" max="28" width="1.42578125" style="15" customWidth="1"/>
    <col min="29" max="51" width="9.140625" style="15" customWidth="1"/>
    <col min="52" max="52" width="1.28515625" style="15" customWidth="1"/>
    <col min="53" max="73" width="9.140625" style="15" customWidth="1"/>
    <col min="74" max="74" width="1.28515625" style="15" customWidth="1"/>
    <col min="75" max="92" width="9.140625" style="15" customWidth="1"/>
    <col min="93" max="93" width="0.42578125" style="15" customWidth="1"/>
    <col min="94" max="94" width="1.140625" style="15" customWidth="1"/>
    <col min="95" max="117" width="9.140625" style="15" customWidth="1"/>
    <col min="118" max="118" width="1.7109375" style="15" customWidth="1"/>
    <col min="119" max="164" width="9.140625" style="15" customWidth="1"/>
    <col min="165" max="165" width="3.42578125" style="15" customWidth="1"/>
    <col min="166" max="188" width="9.140625" style="15" customWidth="1"/>
    <col min="189" max="189" width="2" style="15" customWidth="1"/>
    <col min="190" max="190" width="8" style="15" customWidth="1"/>
    <col min="191" max="195" width="9.140625" style="15" customWidth="1"/>
    <col min="196" max="196" width="8.7109375" style="15" customWidth="1"/>
    <col min="197" max="205" width="9.140625" style="15" customWidth="1"/>
    <col min="206" max="206" width="3.7109375" style="15" customWidth="1"/>
    <col min="207" max="208" width="9.140625" style="15" customWidth="1"/>
    <col min="209" max="209" width="2" style="15" customWidth="1"/>
    <col min="210" max="210" width="8" style="15" customWidth="1"/>
    <col min="211" max="215" width="9.140625" style="15" customWidth="1"/>
    <col min="216" max="216" width="8.7109375" style="15" customWidth="1"/>
    <col min="217" max="225" width="9.140625" style="15" customWidth="1"/>
    <col min="226" max="226" width="3.7109375" style="15" customWidth="1"/>
    <col min="227" max="228" width="9.140625" style="15" customWidth="1"/>
    <col min="229" max="229" width="2" style="15" customWidth="1"/>
    <col min="230" max="230" width="8" style="15" customWidth="1"/>
    <col min="231" max="235" width="9.140625" style="15" customWidth="1"/>
    <col min="236" max="236" width="8.7109375" style="15" customWidth="1"/>
    <col min="237" max="245" width="9.140625" style="15" customWidth="1"/>
    <col min="246" max="246" width="3.7109375" style="15" customWidth="1"/>
    <col min="247" max="247" width="9.140625" style="15" customWidth="1"/>
    <col min="248" max="254" width="0" style="15" hidden="1" customWidth="1"/>
    <col min="255" max="16384" width="9.140625" style="15" hidden="1"/>
  </cols>
  <sheetData>
    <row r="1" spans="1:9" ht="30" customHeight="1" x14ac:dyDescent="0.25">
      <c r="A1" s="222"/>
      <c r="B1" s="222"/>
      <c r="C1" s="222"/>
      <c r="D1" s="222"/>
      <c r="E1" s="222"/>
      <c r="F1" s="12"/>
    </row>
    <row r="2" spans="1:9" ht="19.5" customHeight="1" x14ac:dyDescent="0.25">
      <c r="A2" s="89"/>
      <c r="B2" s="89"/>
      <c r="C2" s="89"/>
      <c r="D2" s="89"/>
      <c r="E2" s="89"/>
      <c r="F2" s="12"/>
    </row>
    <row r="3" spans="1:9" ht="19.5" customHeight="1" x14ac:dyDescent="0.25">
      <c r="A3" s="89"/>
      <c r="B3" s="89"/>
      <c r="C3" s="89"/>
      <c r="D3" s="89"/>
      <c r="E3" s="89"/>
      <c r="F3" s="12"/>
    </row>
    <row r="4" spans="1:9" ht="13.5" customHeight="1" x14ac:dyDescent="0.25">
      <c r="A4" s="89"/>
      <c r="B4" s="89"/>
      <c r="C4" s="89"/>
      <c r="D4" s="89"/>
      <c r="E4" s="89"/>
      <c r="F4" s="12"/>
    </row>
    <row r="5" spans="1:9" ht="13.5" customHeight="1" x14ac:dyDescent="0.25">
      <c r="A5" s="89"/>
      <c r="B5" s="89"/>
      <c r="C5" s="89"/>
      <c r="D5" s="89"/>
      <c r="E5" s="89"/>
      <c r="F5" s="12"/>
    </row>
    <row r="6" spans="1:9" ht="30" customHeight="1" x14ac:dyDescent="0.25">
      <c r="A6" s="222"/>
      <c r="B6" s="222"/>
      <c r="C6" s="222"/>
      <c r="D6" s="222"/>
      <c r="E6" s="222"/>
      <c r="F6" s="12"/>
    </row>
    <row r="7" spans="1:9" ht="30" customHeight="1" x14ac:dyDescent="0.25">
      <c r="A7" s="244" t="s">
        <v>257</v>
      </c>
      <c r="B7" s="244"/>
      <c r="C7" s="244"/>
      <c r="D7" s="244"/>
      <c r="E7" s="244"/>
      <c r="F7" s="244"/>
    </row>
    <row r="8" spans="1:9" ht="30" customHeight="1" x14ac:dyDescent="0.25">
      <c r="A8" s="244" t="s">
        <v>1</v>
      </c>
      <c r="B8" s="244"/>
      <c r="C8" s="244"/>
      <c r="D8" s="244"/>
      <c r="E8" s="244"/>
      <c r="F8" s="244"/>
    </row>
    <row r="9" spans="1:9" ht="30" customHeight="1" x14ac:dyDescent="0.25"/>
    <row r="10" spans="1:9" s="12" customFormat="1" ht="30" customHeight="1" x14ac:dyDescent="0.25">
      <c r="A10" s="19" t="s">
        <v>241</v>
      </c>
      <c r="B10" s="20"/>
      <c r="C10" s="20"/>
      <c r="D10" s="20"/>
      <c r="E10" s="20"/>
      <c r="G10" s="88"/>
    </row>
    <row r="11" spans="1:9" s="12" customFormat="1" ht="30" customHeight="1" x14ac:dyDescent="0.25">
      <c r="A11" s="19" t="s">
        <v>242</v>
      </c>
      <c r="B11" s="20"/>
      <c r="C11" s="20"/>
      <c r="D11" s="20"/>
      <c r="E11" s="20"/>
      <c r="G11" s="88"/>
    </row>
    <row r="12" spans="1:9" s="12" customFormat="1" ht="30" customHeight="1" x14ac:dyDescent="0.25">
      <c r="A12" s="19" t="s">
        <v>243</v>
      </c>
      <c r="B12" s="20"/>
      <c r="C12" s="20"/>
      <c r="D12" s="20"/>
      <c r="E12" s="20"/>
      <c r="G12" s="88"/>
    </row>
    <row r="13" spans="1:9" s="12" customFormat="1" ht="30" customHeight="1" x14ac:dyDescent="0.25">
      <c r="A13" s="19" t="s">
        <v>244</v>
      </c>
      <c r="B13" s="20"/>
      <c r="C13" s="20"/>
      <c r="D13" s="20"/>
      <c r="E13" s="20"/>
      <c r="G13" s="88"/>
    </row>
    <row r="14" spans="1:9" s="12" customFormat="1" ht="30" customHeight="1" x14ac:dyDescent="0.25">
      <c r="A14" s="19" t="s">
        <v>245</v>
      </c>
      <c r="B14" s="20"/>
      <c r="C14" s="20"/>
      <c r="D14" s="20"/>
      <c r="E14" s="20"/>
      <c r="G14" s="88"/>
    </row>
    <row r="15" spans="1:9" s="12" customFormat="1" ht="30" customHeight="1" x14ac:dyDescent="0.25">
      <c r="A15" s="19" t="s">
        <v>246</v>
      </c>
      <c r="B15" s="20"/>
      <c r="C15" s="20"/>
      <c r="D15" s="20"/>
      <c r="E15" s="20"/>
      <c r="G15" s="88"/>
    </row>
    <row r="16" spans="1:9" s="12" customFormat="1" ht="30" customHeight="1" x14ac:dyDescent="0.25">
      <c r="A16" s="245" t="s">
        <v>247</v>
      </c>
      <c r="B16" s="245"/>
      <c r="C16" s="245"/>
      <c r="D16" s="245"/>
      <c r="E16" s="245"/>
      <c r="F16" s="245"/>
      <c r="G16" s="90"/>
      <c r="I16" s="88"/>
    </row>
    <row r="17" spans="1:9" s="12" customFormat="1" ht="30" customHeight="1" x14ac:dyDescent="0.25">
      <c r="A17" s="246" t="s">
        <v>2</v>
      </c>
      <c r="B17" s="246"/>
      <c r="C17" s="246"/>
      <c r="D17" s="246"/>
      <c r="E17" s="246"/>
      <c r="F17" s="246"/>
      <c r="G17" s="90"/>
      <c r="I17" s="88"/>
    </row>
    <row r="18" spans="1:9" s="12" customFormat="1" ht="30" customHeight="1" x14ac:dyDescent="0.25">
      <c r="A18" s="246" t="s">
        <v>3</v>
      </c>
      <c r="B18" s="246"/>
      <c r="C18" s="246"/>
      <c r="D18" s="246"/>
      <c r="E18" s="246"/>
      <c r="F18" s="246"/>
      <c r="G18" s="90"/>
      <c r="I18" s="88"/>
    </row>
    <row r="19" spans="1:9" s="12" customFormat="1" ht="30" customHeight="1" x14ac:dyDescent="0.25">
      <c r="A19" s="19" t="s">
        <v>248</v>
      </c>
      <c r="B19" s="20"/>
      <c r="C19" s="20"/>
      <c r="D19" s="20"/>
      <c r="E19" s="20"/>
      <c r="F19" s="2"/>
      <c r="G19" s="91"/>
    </row>
    <row r="20" spans="1:9" s="12" customFormat="1" ht="30" customHeight="1" x14ac:dyDescent="0.25">
      <c r="A20" s="19" t="s">
        <v>258</v>
      </c>
      <c r="B20" s="20"/>
      <c r="C20" s="20"/>
      <c r="D20" s="20"/>
      <c r="E20" s="20"/>
      <c r="F20" s="1"/>
      <c r="G20" s="88"/>
    </row>
    <row r="21" spans="1:9" ht="30" customHeight="1" thickBot="1" x14ac:dyDescent="0.3">
      <c r="A21" s="22"/>
      <c r="B21" s="23"/>
      <c r="C21" s="23"/>
      <c r="D21" s="23"/>
      <c r="E21" s="20"/>
    </row>
    <row r="22" spans="1:9" s="12" customFormat="1" ht="37.5" customHeight="1" thickBot="1" x14ac:dyDescent="0.3">
      <c r="A22" s="223" t="s">
        <v>4</v>
      </c>
      <c r="B22" s="225"/>
      <c r="C22" s="24" t="s">
        <v>5</v>
      </c>
      <c r="D22" s="24" t="s">
        <v>6</v>
      </c>
      <c r="E22" s="223" t="s">
        <v>7</v>
      </c>
      <c r="F22" s="225"/>
      <c r="G22" s="88"/>
    </row>
    <row r="23" spans="1:9" s="29" customFormat="1" ht="45" customHeight="1" thickBot="1" x14ac:dyDescent="0.3">
      <c r="A23" s="249" t="s">
        <v>96</v>
      </c>
      <c r="B23" s="250"/>
      <c r="C23" s="92">
        <v>44553</v>
      </c>
      <c r="D23" s="92">
        <v>44926</v>
      </c>
      <c r="E23" s="193">
        <v>71375040</v>
      </c>
      <c r="F23" s="194"/>
      <c r="G23" s="93"/>
    </row>
    <row r="24" spans="1:9" s="29" customFormat="1" ht="45" customHeight="1" thickBot="1" x14ac:dyDescent="0.3">
      <c r="A24" s="249" t="s">
        <v>102</v>
      </c>
      <c r="B24" s="250"/>
      <c r="C24" s="92">
        <v>44659</v>
      </c>
      <c r="D24" s="92">
        <v>44834</v>
      </c>
      <c r="E24" s="193">
        <v>2122260</v>
      </c>
      <c r="F24" s="194"/>
      <c r="G24" s="93"/>
    </row>
    <row r="25" spans="1:9" s="29" customFormat="1" ht="45" customHeight="1" thickBot="1" x14ac:dyDescent="0.3">
      <c r="A25" s="249" t="s">
        <v>106</v>
      </c>
      <c r="B25" s="250"/>
      <c r="C25" s="92">
        <v>44708</v>
      </c>
      <c r="D25" s="92">
        <v>44926</v>
      </c>
      <c r="E25" s="193">
        <v>719200</v>
      </c>
      <c r="F25" s="194"/>
      <c r="G25" s="93"/>
    </row>
    <row r="26" spans="1:9" s="29" customFormat="1" ht="45" customHeight="1" thickBot="1" x14ac:dyDescent="0.3">
      <c r="A26" s="249" t="s">
        <v>108</v>
      </c>
      <c r="B26" s="250"/>
      <c r="C26" s="92">
        <v>44741</v>
      </c>
      <c r="D26" s="92">
        <v>44926</v>
      </c>
      <c r="E26" s="193">
        <v>44446</v>
      </c>
      <c r="F26" s="194"/>
      <c r="G26" s="93"/>
    </row>
    <row r="27" spans="1:9" s="29" customFormat="1" ht="45" customHeight="1" thickBot="1" x14ac:dyDescent="0.3">
      <c r="A27" s="249" t="s">
        <v>192</v>
      </c>
      <c r="B27" s="250"/>
      <c r="C27" s="92">
        <v>44747</v>
      </c>
      <c r="D27" s="92">
        <v>44926</v>
      </c>
      <c r="E27" s="193">
        <f>5708698.03</f>
        <v>5708698.0300000003</v>
      </c>
      <c r="F27" s="194"/>
      <c r="G27" s="93"/>
    </row>
    <row r="28" spans="1:9" s="29" customFormat="1" ht="45" customHeight="1" thickBot="1" x14ac:dyDescent="0.3">
      <c r="A28" s="249" t="s">
        <v>202</v>
      </c>
      <c r="B28" s="250"/>
      <c r="C28" s="92">
        <v>44798</v>
      </c>
      <c r="D28" s="92">
        <v>44865</v>
      </c>
      <c r="E28" s="251">
        <v>-104006.41</v>
      </c>
      <c r="F28" s="194"/>
      <c r="G28" s="93"/>
    </row>
    <row r="29" spans="1:9" s="29" customFormat="1" ht="45" customHeight="1" thickBot="1" x14ac:dyDescent="0.3">
      <c r="A29" s="249" t="s">
        <v>224</v>
      </c>
      <c r="B29" s="250"/>
      <c r="C29" s="92">
        <v>44876</v>
      </c>
      <c r="D29" s="92">
        <v>45838</v>
      </c>
      <c r="E29" s="193">
        <v>600654</v>
      </c>
      <c r="F29" s="194"/>
      <c r="G29" s="93"/>
    </row>
    <row r="30" spans="1:9" s="29" customFormat="1" ht="45" customHeight="1" thickBot="1" x14ac:dyDescent="0.3">
      <c r="A30" s="249" t="s">
        <v>225</v>
      </c>
      <c r="B30" s="250"/>
      <c r="C30" s="92">
        <v>44923</v>
      </c>
      <c r="D30" s="92">
        <v>45838</v>
      </c>
      <c r="E30" s="193">
        <v>1356612.88</v>
      </c>
      <c r="F30" s="194"/>
      <c r="G30" s="93"/>
    </row>
    <row r="31" spans="1:9" s="12" customFormat="1" ht="60" customHeight="1" thickBot="1" x14ac:dyDescent="0.3">
      <c r="A31" s="223" t="s">
        <v>8</v>
      </c>
      <c r="B31" s="224"/>
      <c r="C31" s="224"/>
      <c r="D31" s="224"/>
      <c r="E31" s="224"/>
      <c r="F31" s="225"/>
      <c r="G31" s="88"/>
    </row>
    <row r="32" spans="1:9" s="12" customFormat="1" ht="80.25" customHeight="1" thickBot="1" x14ac:dyDescent="0.3">
      <c r="A32" s="30" t="s">
        <v>236</v>
      </c>
      <c r="B32" s="30" t="s">
        <v>9</v>
      </c>
      <c r="C32" s="24" t="s">
        <v>10</v>
      </c>
      <c r="D32" s="30" t="s">
        <v>11</v>
      </c>
      <c r="E32" s="241" t="s">
        <v>12</v>
      </c>
      <c r="F32" s="241"/>
      <c r="G32" s="88"/>
    </row>
    <row r="33" spans="1:9" s="12" customFormat="1" thickBot="1" x14ac:dyDescent="0.3">
      <c r="A33" s="94" t="s">
        <v>97</v>
      </c>
      <c r="B33" s="95">
        <v>5947920</v>
      </c>
      <c r="C33" s="96">
        <v>44568</v>
      </c>
      <c r="D33" s="97" t="s">
        <v>168</v>
      </c>
      <c r="E33" s="247">
        <f t="shared" ref="E33:E40" si="0">B33</f>
        <v>5947920</v>
      </c>
      <c r="F33" s="248"/>
      <c r="G33" s="64"/>
    </row>
    <row r="34" spans="1:9" s="12" customFormat="1" thickBot="1" x14ac:dyDescent="0.3">
      <c r="A34" s="94" t="s">
        <v>98</v>
      </c>
      <c r="B34" s="95">
        <v>5947920</v>
      </c>
      <c r="C34" s="96">
        <v>44596</v>
      </c>
      <c r="D34" s="97" t="s">
        <v>169</v>
      </c>
      <c r="E34" s="247">
        <f t="shared" si="0"/>
        <v>5947920</v>
      </c>
      <c r="F34" s="248"/>
      <c r="G34" s="64"/>
    </row>
    <row r="35" spans="1:9" s="12" customFormat="1" thickBot="1" x14ac:dyDescent="0.3">
      <c r="A35" s="94" t="s">
        <v>99</v>
      </c>
      <c r="B35" s="95">
        <v>5947920</v>
      </c>
      <c r="C35" s="96">
        <v>44624</v>
      </c>
      <c r="D35" s="97" t="s">
        <v>170</v>
      </c>
      <c r="E35" s="247">
        <f t="shared" si="0"/>
        <v>5947920</v>
      </c>
      <c r="F35" s="248"/>
      <c r="G35" s="64"/>
    </row>
    <row r="36" spans="1:9" s="12" customFormat="1" thickBot="1" x14ac:dyDescent="0.3">
      <c r="A36" s="197" t="s">
        <v>101</v>
      </c>
      <c r="B36" s="95">
        <v>5947920</v>
      </c>
      <c r="C36" s="96">
        <v>44657</v>
      </c>
      <c r="D36" s="97" t="s">
        <v>176</v>
      </c>
      <c r="E36" s="247">
        <f t="shared" si="0"/>
        <v>5947920</v>
      </c>
      <c r="F36" s="248"/>
      <c r="G36" s="64"/>
    </row>
    <row r="37" spans="1:9" s="12" customFormat="1" thickBot="1" x14ac:dyDescent="0.3">
      <c r="A37" s="199"/>
      <c r="B37" s="179">
        <v>353710</v>
      </c>
      <c r="C37" s="96">
        <v>44677</v>
      </c>
      <c r="D37" s="97" t="s">
        <v>177</v>
      </c>
      <c r="E37" s="247">
        <v>353710</v>
      </c>
      <c r="F37" s="248"/>
      <c r="G37" s="64"/>
    </row>
    <row r="38" spans="1:9" s="12" customFormat="1" thickBot="1" x14ac:dyDescent="0.3">
      <c r="A38" s="197" t="s">
        <v>103</v>
      </c>
      <c r="B38" s="95">
        <v>5947920</v>
      </c>
      <c r="C38" s="96">
        <v>44687</v>
      </c>
      <c r="D38" s="97" t="s">
        <v>178</v>
      </c>
      <c r="E38" s="247">
        <f t="shared" si="0"/>
        <v>5947920</v>
      </c>
      <c r="F38" s="248"/>
      <c r="G38" s="64"/>
    </row>
    <row r="39" spans="1:9" s="12" customFormat="1" thickBot="1" x14ac:dyDescent="0.3">
      <c r="A39" s="199"/>
      <c r="B39" s="179">
        <v>353710</v>
      </c>
      <c r="C39" s="96">
        <v>44687</v>
      </c>
      <c r="D39" s="97" t="s">
        <v>180</v>
      </c>
      <c r="E39" s="247">
        <f>B39</f>
        <v>353710</v>
      </c>
      <c r="F39" s="248"/>
      <c r="G39" s="64"/>
    </row>
    <row r="40" spans="1:9" s="12" customFormat="1" thickBot="1" x14ac:dyDescent="0.3">
      <c r="A40" s="197" t="s">
        <v>79</v>
      </c>
      <c r="B40" s="95">
        <f>E35</f>
        <v>5947920</v>
      </c>
      <c r="C40" s="96">
        <v>44718</v>
      </c>
      <c r="D40" s="97" t="s">
        <v>181</v>
      </c>
      <c r="E40" s="247">
        <f t="shared" si="0"/>
        <v>5947920</v>
      </c>
      <c r="F40" s="248"/>
      <c r="G40" s="64"/>
    </row>
    <row r="41" spans="1:9" s="12" customFormat="1" thickBot="1" x14ac:dyDescent="0.3">
      <c r="A41" s="198"/>
      <c r="B41" s="179">
        <v>353710</v>
      </c>
      <c r="C41" s="96">
        <v>44718</v>
      </c>
      <c r="D41" s="97" t="s">
        <v>188</v>
      </c>
      <c r="E41" s="247">
        <f>B41</f>
        <v>353710</v>
      </c>
      <c r="F41" s="248"/>
      <c r="G41" s="64"/>
    </row>
    <row r="42" spans="1:9" s="12" customFormat="1" thickBot="1" x14ac:dyDescent="0.3">
      <c r="A42" s="199"/>
      <c r="B42" s="179">
        <v>179800</v>
      </c>
      <c r="C42" s="96">
        <v>44718</v>
      </c>
      <c r="D42" s="97" t="s">
        <v>189</v>
      </c>
      <c r="E42" s="247">
        <v>179800</v>
      </c>
      <c r="F42" s="248"/>
      <c r="G42" s="64"/>
      <c r="I42" s="34"/>
    </row>
    <row r="43" spans="1:9" s="12" customFormat="1" thickBot="1" x14ac:dyDescent="0.3">
      <c r="A43" s="197" t="s">
        <v>107</v>
      </c>
      <c r="B43" s="95">
        <v>5947920</v>
      </c>
      <c r="C43" s="96">
        <v>44748</v>
      </c>
      <c r="D43" s="97" t="s">
        <v>193</v>
      </c>
      <c r="E43" s="247">
        <f>B43</f>
        <v>5947920</v>
      </c>
      <c r="F43" s="248"/>
      <c r="G43" s="64"/>
    </row>
    <row r="44" spans="1:9" s="12" customFormat="1" thickBot="1" x14ac:dyDescent="0.3">
      <c r="A44" s="198"/>
      <c r="B44" s="95">
        <f>393090.79+638104.54</f>
        <v>1031195.3300000001</v>
      </c>
      <c r="C44" s="96">
        <v>44753</v>
      </c>
      <c r="D44" s="97" t="s">
        <v>194</v>
      </c>
      <c r="E44" s="247">
        <f>B44</f>
        <v>1031195.3300000001</v>
      </c>
      <c r="F44" s="248"/>
      <c r="G44" s="64"/>
    </row>
    <row r="45" spans="1:9" s="12" customFormat="1" thickBot="1" x14ac:dyDescent="0.3">
      <c r="A45" s="198"/>
      <c r="B45" s="179">
        <v>353710</v>
      </c>
      <c r="C45" s="96">
        <v>44748</v>
      </c>
      <c r="D45" s="97" t="s">
        <v>195</v>
      </c>
      <c r="E45" s="247">
        <f>B45</f>
        <v>353710</v>
      </c>
      <c r="F45" s="248"/>
      <c r="G45" s="64"/>
    </row>
    <row r="46" spans="1:9" s="12" customFormat="1" thickBot="1" x14ac:dyDescent="0.3">
      <c r="A46" s="198"/>
      <c r="B46" s="179">
        <v>89900</v>
      </c>
      <c r="C46" s="96">
        <v>44748</v>
      </c>
      <c r="D46" s="97" t="s">
        <v>196</v>
      </c>
      <c r="E46" s="247">
        <f>89900</f>
        <v>89900</v>
      </c>
      <c r="F46" s="248"/>
      <c r="G46" s="64"/>
      <c r="I46" s="34"/>
    </row>
    <row r="47" spans="1:9" s="12" customFormat="1" thickBot="1" x14ac:dyDescent="0.3">
      <c r="A47" s="199"/>
      <c r="B47" s="180">
        <v>44446</v>
      </c>
      <c r="C47" s="125">
        <v>44753</v>
      </c>
      <c r="D47" s="97" t="s">
        <v>197</v>
      </c>
      <c r="E47" s="247">
        <f>44446</f>
        <v>44446</v>
      </c>
      <c r="F47" s="248"/>
      <c r="G47" s="64"/>
    </row>
    <row r="48" spans="1:9" s="12" customFormat="1" thickBot="1" x14ac:dyDescent="0.3">
      <c r="A48" s="197" t="s">
        <v>198</v>
      </c>
      <c r="B48" s="95">
        <v>6788794.54</v>
      </c>
      <c r="C48" s="96">
        <v>44778</v>
      </c>
      <c r="D48" s="97" t="s">
        <v>199</v>
      </c>
      <c r="E48" s="195">
        <f>6788794.54</f>
        <v>6788794.54</v>
      </c>
      <c r="F48" s="196"/>
      <c r="G48" s="64"/>
    </row>
    <row r="49" spans="1:9" s="12" customFormat="1" thickBot="1" x14ac:dyDescent="0.3">
      <c r="A49" s="198"/>
      <c r="B49" s="179">
        <v>353710</v>
      </c>
      <c r="C49" s="96">
        <v>44778</v>
      </c>
      <c r="D49" s="97" t="s">
        <v>200</v>
      </c>
      <c r="E49" s="247">
        <f>B49</f>
        <v>353710</v>
      </c>
      <c r="F49" s="248"/>
      <c r="G49" s="64"/>
    </row>
    <row r="50" spans="1:9" s="12" customFormat="1" thickBot="1" x14ac:dyDescent="0.3">
      <c r="A50" s="199"/>
      <c r="B50" s="179">
        <v>89900</v>
      </c>
      <c r="C50" s="96">
        <v>44778</v>
      </c>
      <c r="D50" s="97" t="s">
        <v>201</v>
      </c>
      <c r="E50" s="247">
        <f>89900</f>
        <v>89900</v>
      </c>
      <c r="F50" s="248"/>
      <c r="G50" s="64"/>
    </row>
    <row r="51" spans="1:9" s="12" customFormat="1" thickBot="1" x14ac:dyDescent="0.3">
      <c r="A51" s="197" t="s">
        <v>203</v>
      </c>
      <c r="B51" s="95">
        <v>6855076.6299999999</v>
      </c>
      <c r="C51" s="96">
        <v>44810</v>
      </c>
      <c r="D51" s="97" t="s">
        <v>204</v>
      </c>
      <c r="E51" s="195">
        <v>6855076.6299999999</v>
      </c>
      <c r="F51" s="196"/>
      <c r="G51" s="64"/>
    </row>
    <row r="52" spans="1:9" s="12" customFormat="1" thickBot="1" x14ac:dyDescent="0.3">
      <c r="A52" s="198"/>
      <c r="B52" s="179">
        <v>353710</v>
      </c>
      <c r="C52" s="96">
        <v>44810</v>
      </c>
      <c r="D52" s="97" t="s">
        <v>205</v>
      </c>
      <c r="E52" s="247">
        <f>B52</f>
        <v>353710</v>
      </c>
      <c r="F52" s="248"/>
      <c r="G52" s="64"/>
    </row>
    <row r="53" spans="1:9" s="12" customFormat="1" thickBot="1" x14ac:dyDescent="0.3">
      <c r="A53" s="199"/>
      <c r="B53" s="179">
        <v>89900</v>
      </c>
      <c r="C53" s="96">
        <v>44810</v>
      </c>
      <c r="D53" s="97" t="s">
        <v>206</v>
      </c>
      <c r="E53" s="247">
        <f>B53</f>
        <v>89900</v>
      </c>
      <c r="F53" s="248"/>
      <c r="G53" s="64"/>
      <c r="I53" s="34"/>
    </row>
    <row r="54" spans="1:9" s="12" customFormat="1" thickBot="1" x14ac:dyDescent="0.3">
      <c r="A54" s="197" t="s">
        <v>207</v>
      </c>
      <c r="B54" s="95">
        <v>6855071.04</v>
      </c>
      <c r="C54" s="96">
        <v>44840</v>
      </c>
      <c r="D54" s="97" t="s">
        <v>215</v>
      </c>
      <c r="E54" s="195">
        <v>6855071.04</v>
      </c>
      <c r="F54" s="196"/>
      <c r="G54" s="64"/>
    </row>
    <row r="55" spans="1:9" s="12" customFormat="1" thickBot="1" x14ac:dyDescent="0.3">
      <c r="A55" s="199"/>
      <c r="B55" s="179">
        <v>89900</v>
      </c>
      <c r="C55" s="96">
        <v>44840</v>
      </c>
      <c r="D55" s="97" t="s">
        <v>208</v>
      </c>
      <c r="E55" s="247">
        <f>B55</f>
        <v>89900</v>
      </c>
      <c r="F55" s="248"/>
      <c r="G55" s="64"/>
    </row>
    <row r="56" spans="1:9" s="12" customFormat="1" thickBot="1" x14ac:dyDescent="0.3">
      <c r="A56" s="197" t="s">
        <v>209</v>
      </c>
      <c r="B56" s="95">
        <v>6907077.04</v>
      </c>
      <c r="C56" s="96">
        <v>44872</v>
      </c>
      <c r="D56" s="97" t="s">
        <v>210</v>
      </c>
      <c r="E56" s="195">
        <v>6907077.04</v>
      </c>
      <c r="F56" s="196"/>
      <c r="G56" s="64"/>
    </row>
    <row r="57" spans="1:9" s="12" customFormat="1" thickBot="1" x14ac:dyDescent="0.3">
      <c r="A57" s="198"/>
      <c r="B57" s="179">
        <v>89900</v>
      </c>
      <c r="C57" s="96">
        <v>44872</v>
      </c>
      <c r="D57" s="97" t="s">
        <v>211</v>
      </c>
      <c r="E57" s="247">
        <f>B57</f>
        <v>89900</v>
      </c>
      <c r="F57" s="248"/>
      <c r="G57" s="64"/>
      <c r="I57" s="34"/>
    </row>
    <row r="58" spans="1:9" s="12" customFormat="1" thickBot="1" x14ac:dyDescent="0.3">
      <c r="A58" s="199"/>
      <c r="B58" s="180">
        <v>600654</v>
      </c>
      <c r="C58" s="125">
        <v>44886</v>
      </c>
      <c r="D58" s="97" t="s">
        <v>226</v>
      </c>
      <c r="E58" s="247">
        <v>600654</v>
      </c>
      <c r="F58" s="248"/>
      <c r="G58" s="64"/>
    </row>
    <row r="59" spans="1:9" s="12" customFormat="1" thickBot="1" x14ac:dyDescent="0.3">
      <c r="A59" s="197" t="s">
        <v>222</v>
      </c>
      <c r="B59" s="95">
        <v>6907077.04</v>
      </c>
      <c r="C59" s="96">
        <v>44901</v>
      </c>
      <c r="D59" s="97" t="s">
        <v>234</v>
      </c>
      <c r="E59" s="195">
        <v>6907077.04</v>
      </c>
      <c r="F59" s="196"/>
      <c r="G59" s="64"/>
    </row>
    <row r="60" spans="1:9" s="12" customFormat="1" thickBot="1" x14ac:dyDescent="0.3">
      <c r="A60" s="198"/>
      <c r="B60" s="179">
        <v>89900</v>
      </c>
      <c r="C60" s="96">
        <v>44901</v>
      </c>
      <c r="D60" s="97" t="s">
        <v>221</v>
      </c>
      <c r="E60" s="247">
        <v>89900</v>
      </c>
      <c r="F60" s="248"/>
      <c r="G60" s="64"/>
      <c r="I60" s="34"/>
    </row>
    <row r="61" spans="1:9" s="12" customFormat="1" thickBot="1" x14ac:dyDescent="0.3">
      <c r="A61" s="199"/>
      <c r="B61" s="180">
        <v>1356612.88</v>
      </c>
      <c r="C61" s="125">
        <v>44924</v>
      </c>
      <c r="D61" s="97" t="s">
        <v>227</v>
      </c>
      <c r="E61" s="247">
        <v>1356612.88</v>
      </c>
      <c r="F61" s="248"/>
      <c r="G61" s="64"/>
    </row>
    <row r="62" spans="1:9" s="12" customFormat="1" ht="38.1" customHeight="1" thickBot="1" x14ac:dyDescent="0.3">
      <c r="A62" s="234" t="s">
        <v>237</v>
      </c>
      <c r="B62" s="234"/>
      <c r="C62" s="234"/>
      <c r="D62" s="234"/>
      <c r="E62" s="229">
        <v>3499355.03</v>
      </c>
      <c r="F62" s="230"/>
      <c r="G62" s="98"/>
      <c r="H62" s="99"/>
    </row>
    <row r="63" spans="1:9" s="12" customFormat="1" ht="37.5" customHeight="1" thickBot="1" x14ac:dyDescent="0.3">
      <c r="A63" s="234" t="s">
        <v>238</v>
      </c>
      <c r="B63" s="234"/>
      <c r="C63" s="234"/>
      <c r="D63" s="234"/>
      <c r="E63" s="235">
        <f>SUM(E33:F61)</f>
        <v>81822904.5</v>
      </c>
      <c r="F63" s="235"/>
      <c r="G63" s="100"/>
    </row>
    <row r="64" spans="1:9" s="12" customFormat="1" ht="37.5" customHeight="1" thickBot="1" x14ac:dyDescent="0.3">
      <c r="A64" s="226" t="s">
        <v>13</v>
      </c>
      <c r="B64" s="227"/>
      <c r="C64" s="227"/>
      <c r="D64" s="228"/>
      <c r="E64" s="235">
        <f>26574.29+30242.28+40600.75+39436.32+50021.92+56192.48+58855.62+50786.45+16917.86+69456.02+69155.92+71071.68+63062.37+50327.61+19725.22+7585.58</f>
        <v>720012.37</v>
      </c>
      <c r="F64" s="235"/>
      <c r="G64" s="100"/>
      <c r="H64" s="34"/>
    </row>
    <row r="65" spans="1:7" s="12" customFormat="1" ht="38.1" customHeight="1" thickBot="1" x14ac:dyDescent="0.3">
      <c r="A65" s="234" t="s">
        <v>14</v>
      </c>
      <c r="B65" s="234"/>
      <c r="C65" s="234"/>
      <c r="D65" s="234"/>
      <c r="E65" s="235">
        <f>916.2+200</f>
        <v>1116.2</v>
      </c>
      <c r="F65" s="235"/>
      <c r="G65" s="88"/>
    </row>
    <row r="66" spans="1:7" s="12" customFormat="1" ht="38.1" customHeight="1" thickBot="1" x14ac:dyDescent="0.3">
      <c r="A66" s="234" t="s">
        <v>15</v>
      </c>
      <c r="B66" s="234"/>
      <c r="C66" s="234"/>
      <c r="D66" s="234"/>
      <c r="E66" s="238">
        <f>SUM(E62:F65)</f>
        <v>86043388.100000009</v>
      </c>
      <c r="F66" s="238"/>
      <c r="G66" s="88"/>
    </row>
    <row r="67" spans="1:7" s="12" customFormat="1" ht="38.1" customHeight="1" thickBot="1" x14ac:dyDescent="0.3">
      <c r="A67" s="239"/>
      <c r="B67" s="239"/>
      <c r="C67" s="239"/>
      <c r="D67" s="239"/>
      <c r="E67" s="239"/>
      <c r="F67" s="239"/>
      <c r="G67" s="88"/>
    </row>
    <row r="68" spans="1:7" s="12" customFormat="1" ht="38.1" customHeight="1" thickBot="1" x14ac:dyDescent="0.3">
      <c r="A68" s="234" t="s">
        <v>16</v>
      </c>
      <c r="B68" s="234"/>
      <c r="C68" s="234"/>
      <c r="D68" s="234"/>
      <c r="E68" s="235">
        <v>0</v>
      </c>
      <c r="F68" s="235"/>
      <c r="G68" s="88"/>
    </row>
    <row r="69" spans="1:7" s="12" customFormat="1" ht="38.1" customHeight="1" thickBot="1" x14ac:dyDescent="0.3">
      <c r="A69" s="234" t="s">
        <v>17</v>
      </c>
      <c r="B69" s="234"/>
      <c r="C69" s="234"/>
      <c r="D69" s="234"/>
      <c r="E69" s="240">
        <f>E66+E68</f>
        <v>86043388.100000009</v>
      </c>
      <c r="F69" s="240"/>
      <c r="G69" s="88"/>
    </row>
    <row r="70" spans="1:7" ht="30" customHeight="1" x14ac:dyDescent="0.25">
      <c r="A70" s="36" t="s">
        <v>18</v>
      </c>
      <c r="B70" s="37"/>
      <c r="C70" s="37"/>
      <c r="D70" s="37"/>
      <c r="E70" s="38"/>
    </row>
    <row r="71" spans="1:7" ht="30" customHeight="1" x14ac:dyDescent="0.25">
      <c r="A71" s="36" t="s">
        <v>19</v>
      </c>
      <c r="B71" s="37"/>
      <c r="C71" s="37"/>
      <c r="D71" s="39"/>
    </row>
    <row r="72" spans="1:7" ht="30" customHeight="1" x14ac:dyDescent="0.25">
      <c r="A72" s="217" t="s">
        <v>239</v>
      </c>
      <c r="B72" s="217"/>
      <c r="C72" s="217"/>
      <c r="D72" s="101"/>
    </row>
    <row r="73" spans="1:7" ht="30" customHeight="1" x14ac:dyDescent="0.25">
      <c r="A73" s="41"/>
      <c r="B73" s="41"/>
      <c r="C73" s="41"/>
      <c r="D73" s="41"/>
      <c r="E73" s="41"/>
      <c r="F73" s="41"/>
    </row>
    <row r="74" spans="1:7" ht="30" customHeight="1" x14ac:dyDescent="0.25">
      <c r="A74" s="41"/>
      <c r="B74" s="41"/>
      <c r="C74" s="41"/>
      <c r="D74" s="41"/>
      <c r="E74" s="41"/>
      <c r="F74" s="41"/>
    </row>
    <row r="75" spans="1:7" ht="30" customHeight="1" x14ac:dyDescent="0.25">
      <c r="A75" s="41"/>
      <c r="B75" s="41"/>
      <c r="C75" s="41"/>
      <c r="D75" s="41"/>
      <c r="E75" s="41"/>
      <c r="F75" s="41"/>
    </row>
    <row r="76" spans="1:7" ht="30" customHeight="1" x14ac:dyDescent="0.25">
      <c r="A76" s="41"/>
      <c r="B76" s="41"/>
      <c r="C76" s="41"/>
      <c r="D76" s="41"/>
      <c r="E76" s="41"/>
      <c r="F76" s="41"/>
    </row>
    <row r="77" spans="1:7" ht="30" customHeight="1" x14ac:dyDescent="0.25">
      <c r="A77" s="218" t="s">
        <v>240</v>
      </c>
      <c r="B77" s="218"/>
      <c r="C77" s="218"/>
      <c r="D77" s="218"/>
      <c r="E77" s="218"/>
      <c r="F77" s="218"/>
    </row>
    <row r="78" spans="1:7" ht="30" customHeight="1" x14ac:dyDescent="0.25">
      <c r="A78" s="218"/>
      <c r="B78" s="218"/>
      <c r="C78" s="218"/>
      <c r="D78" s="218"/>
      <c r="E78" s="218"/>
      <c r="F78" s="218"/>
    </row>
    <row r="79" spans="1:7" ht="30" customHeight="1" x14ac:dyDescent="0.25">
      <c r="A79" s="41"/>
      <c r="B79" s="41"/>
      <c r="C79" s="41"/>
      <c r="D79" s="41"/>
      <c r="E79" s="41"/>
      <c r="F79" s="41"/>
    </row>
    <row r="80" spans="1:7" ht="30" customHeight="1" x14ac:dyDescent="0.25">
      <c r="A80" s="41"/>
      <c r="B80" s="41"/>
      <c r="C80" s="41"/>
      <c r="D80" s="41"/>
      <c r="E80" s="41"/>
      <c r="F80" s="41"/>
    </row>
    <row r="81" spans="1:7" ht="30" customHeight="1" x14ac:dyDescent="0.25">
      <c r="A81" s="41"/>
      <c r="B81" s="41"/>
      <c r="C81" s="41"/>
      <c r="D81" s="41"/>
      <c r="E81" s="41"/>
      <c r="F81" s="41"/>
    </row>
    <row r="82" spans="1:7" ht="30" customHeight="1" thickBot="1" x14ac:dyDescent="0.3">
      <c r="A82" s="41"/>
      <c r="B82" s="41"/>
      <c r="C82" s="41"/>
      <c r="D82" s="41"/>
      <c r="E82" s="41"/>
      <c r="F82" s="41"/>
    </row>
    <row r="83" spans="1:7" s="12" customFormat="1" ht="37.5" customHeight="1" thickBot="1" x14ac:dyDescent="0.3">
      <c r="A83" s="219" t="s">
        <v>20</v>
      </c>
      <c r="B83" s="220"/>
      <c r="C83" s="220"/>
      <c r="D83" s="220"/>
      <c r="E83" s="220"/>
      <c r="F83" s="221"/>
      <c r="G83" s="88"/>
    </row>
    <row r="84" spans="1:7" s="12" customFormat="1" ht="37.5" customHeight="1" thickBot="1" x14ac:dyDescent="0.3">
      <c r="A84" s="42" t="s">
        <v>259</v>
      </c>
      <c r="B84" s="43"/>
      <c r="C84" s="43"/>
      <c r="D84" s="43"/>
      <c r="E84" s="43"/>
      <c r="F84" s="3"/>
      <c r="G84" s="88"/>
    </row>
    <row r="85" spans="1:7" s="12" customFormat="1" ht="33" customHeight="1" x14ac:dyDescent="0.25">
      <c r="A85" s="44"/>
      <c r="B85" s="45"/>
      <c r="C85" s="46" t="s">
        <v>21</v>
      </c>
      <c r="D85" s="46" t="s">
        <v>21</v>
      </c>
      <c r="E85" s="46" t="s">
        <v>22</v>
      </c>
      <c r="F85" s="46" t="s">
        <v>21</v>
      </c>
      <c r="G85" s="88"/>
    </row>
    <row r="86" spans="1:7" s="12" customFormat="1" ht="33" customHeight="1" x14ac:dyDescent="0.25">
      <c r="A86" s="46" t="s">
        <v>23</v>
      </c>
      <c r="B86" s="47" t="s">
        <v>21</v>
      </c>
      <c r="C86" s="46" t="s">
        <v>24</v>
      </c>
      <c r="D86" s="46" t="s">
        <v>24</v>
      </c>
      <c r="E86" s="46" t="s">
        <v>21</v>
      </c>
      <c r="F86" s="46" t="s">
        <v>24</v>
      </c>
      <c r="G86" s="88"/>
    </row>
    <row r="87" spans="1:7" s="12" customFormat="1" ht="33" customHeight="1" x14ac:dyDescent="0.25">
      <c r="A87" s="46" t="s">
        <v>25</v>
      </c>
      <c r="B87" s="47" t="s">
        <v>24</v>
      </c>
      <c r="C87" s="46" t="s">
        <v>26</v>
      </c>
      <c r="D87" s="46" t="s">
        <v>27</v>
      </c>
      <c r="E87" s="46" t="s">
        <v>28</v>
      </c>
      <c r="F87" s="46" t="s">
        <v>29</v>
      </c>
      <c r="G87" s="88"/>
    </row>
    <row r="88" spans="1:7" s="12" customFormat="1" ht="33" customHeight="1" x14ac:dyDescent="0.25">
      <c r="A88" s="46" t="s">
        <v>30</v>
      </c>
      <c r="B88" s="47" t="s">
        <v>31</v>
      </c>
      <c r="C88" s="46" t="s">
        <v>32</v>
      </c>
      <c r="D88" s="46" t="s">
        <v>33</v>
      </c>
      <c r="E88" s="46" t="s">
        <v>31</v>
      </c>
      <c r="F88" s="46" t="s">
        <v>34</v>
      </c>
      <c r="G88" s="88"/>
    </row>
    <row r="89" spans="1:7" s="12" customFormat="1" ht="33" customHeight="1" x14ac:dyDescent="0.25">
      <c r="A89" s="44"/>
      <c r="B89" s="47" t="s">
        <v>35</v>
      </c>
      <c r="C89" s="46" t="s">
        <v>36</v>
      </c>
      <c r="D89" s="46" t="s">
        <v>35</v>
      </c>
      <c r="E89" s="46" t="s">
        <v>37</v>
      </c>
      <c r="F89" s="46" t="s">
        <v>38</v>
      </c>
      <c r="G89" s="88"/>
    </row>
    <row r="90" spans="1:7" s="12" customFormat="1" ht="33" customHeight="1" x14ac:dyDescent="0.25">
      <c r="A90" s="44"/>
      <c r="B90" s="48"/>
      <c r="C90" s="46" t="s">
        <v>35</v>
      </c>
      <c r="D90" s="46" t="s">
        <v>39</v>
      </c>
      <c r="E90" s="46" t="s">
        <v>40</v>
      </c>
      <c r="F90" s="46" t="s">
        <v>41</v>
      </c>
      <c r="G90" s="88"/>
    </row>
    <row r="91" spans="1:7" s="12" customFormat="1" ht="33" customHeight="1" thickBot="1" x14ac:dyDescent="0.3">
      <c r="A91" s="49"/>
      <c r="B91" s="50"/>
      <c r="C91" s="51" t="s">
        <v>42</v>
      </c>
      <c r="D91" s="52"/>
      <c r="E91" s="53" t="s">
        <v>43</v>
      </c>
      <c r="F91" s="52"/>
      <c r="G91" s="88"/>
    </row>
    <row r="92" spans="1:7" s="12" customFormat="1" ht="47.25" customHeight="1" thickBot="1" x14ac:dyDescent="0.3">
      <c r="A92" s="54" t="s">
        <v>44</v>
      </c>
      <c r="B92" s="55">
        <f t="shared" ref="B92:B107" si="1">D92+F92</f>
        <v>75180772.760000005</v>
      </c>
      <c r="C92" s="56">
        <f>4519193.52+217035.05+172</f>
        <v>4736400.5699999994</v>
      </c>
      <c r="D92" s="56">
        <f>851233.66+4186192.17+903459.54+4366628.32+1243050.13+4248545.4+1162684.9+4530629.53+766325.17+4551420.7+1082063.26+4729994.05+1158959.02+5205281.65+785777.61+4785026.98+1335982.25+4930728.02+770291.08+3458024.54+4929541.35+5411011.23+3489548.86</f>
        <v>68882399.420000002</v>
      </c>
      <c r="E92" s="56">
        <f t="shared" ref="E92:E107" si="2">C92+D92</f>
        <v>73618799.989999995</v>
      </c>
      <c r="F92" s="57">
        <f>5864840.42+433532.92</f>
        <v>6298373.3399999999</v>
      </c>
      <c r="G92" s="88"/>
    </row>
    <row r="93" spans="1:7" s="12" customFormat="1" ht="47.25" customHeight="1" thickBot="1" x14ac:dyDescent="0.3">
      <c r="A93" s="54" t="s">
        <v>45</v>
      </c>
      <c r="B93" s="55">
        <f t="shared" si="1"/>
        <v>0</v>
      </c>
      <c r="C93" s="56">
        <v>0</v>
      </c>
      <c r="D93" s="56">
        <v>0</v>
      </c>
      <c r="E93" s="56">
        <f t="shared" si="2"/>
        <v>0</v>
      </c>
      <c r="F93" s="57">
        <v>0</v>
      </c>
      <c r="G93" s="88"/>
    </row>
    <row r="94" spans="1:7" s="12" customFormat="1" ht="47.25" customHeight="1" thickBot="1" x14ac:dyDescent="0.3">
      <c r="A94" s="54" t="s">
        <v>46</v>
      </c>
      <c r="B94" s="55">
        <f t="shared" si="1"/>
        <v>1406333.85</v>
      </c>
      <c r="C94" s="56">
        <v>0</v>
      </c>
      <c r="D94" s="56">
        <f>74000+533280.27+129687.2+60+322811.02+346495.36</f>
        <v>1406333.85</v>
      </c>
      <c r="E94" s="56">
        <f t="shared" si="2"/>
        <v>1406333.85</v>
      </c>
      <c r="F94" s="57">
        <v>0</v>
      </c>
      <c r="G94" s="88"/>
    </row>
    <row r="95" spans="1:7" s="12" customFormat="1" ht="53.25" customHeight="1" thickBot="1" x14ac:dyDescent="0.3">
      <c r="A95" s="58" t="s">
        <v>47</v>
      </c>
      <c r="B95" s="55">
        <f t="shared" si="1"/>
        <v>2137539.4299999997</v>
      </c>
      <c r="C95" s="56">
        <f>41108</f>
        <v>41108</v>
      </c>
      <c r="D95" s="56">
        <f>449759.61+258689.35+2100+1296631.63+130358.84</f>
        <v>2137539.4299999997</v>
      </c>
      <c r="E95" s="56">
        <f t="shared" si="2"/>
        <v>2178647.4299999997</v>
      </c>
      <c r="F95" s="57">
        <v>0</v>
      </c>
      <c r="G95" s="88"/>
    </row>
    <row r="96" spans="1:7" s="12" customFormat="1" ht="47.25" customHeight="1" thickBot="1" x14ac:dyDescent="0.3">
      <c r="A96" s="54" t="s">
        <v>48</v>
      </c>
      <c r="B96" s="55">
        <f t="shared" si="1"/>
        <v>64090.39</v>
      </c>
      <c r="C96" s="56">
        <v>0</v>
      </c>
      <c r="D96" s="56">
        <f>45224.8+18865.59</f>
        <v>64090.39</v>
      </c>
      <c r="E96" s="56">
        <f t="shared" si="2"/>
        <v>64090.39</v>
      </c>
      <c r="F96" s="57">
        <v>0</v>
      </c>
      <c r="G96" s="88"/>
    </row>
    <row r="97" spans="1:7" s="12" customFormat="1" ht="54" customHeight="1" thickBot="1" x14ac:dyDescent="0.3">
      <c r="A97" s="58" t="s">
        <v>49</v>
      </c>
      <c r="B97" s="55">
        <f t="shared" si="1"/>
        <v>0</v>
      </c>
      <c r="C97" s="56">
        <f>19000.5</f>
        <v>19000.5</v>
      </c>
      <c r="D97" s="56">
        <v>0</v>
      </c>
      <c r="E97" s="56">
        <f t="shared" si="2"/>
        <v>19000.5</v>
      </c>
      <c r="F97" s="57">
        <v>0</v>
      </c>
      <c r="G97" s="88"/>
    </row>
    <row r="98" spans="1:7" s="12" customFormat="1" ht="47.25" customHeight="1" thickBot="1" x14ac:dyDescent="0.3">
      <c r="A98" s="54" t="s">
        <v>50</v>
      </c>
      <c r="B98" s="55">
        <f t="shared" si="1"/>
        <v>813715.14999999991</v>
      </c>
      <c r="C98" s="56">
        <v>0</v>
      </c>
      <c r="D98" s="56">
        <f>2000+552838.96+258876.19</f>
        <v>813715.14999999991</v>
      </c>
      <c r="E98" s="56">
        <f t="shared" si="2"/>
        <v>813715.14999999991</v>
      </c>
      <c r="F98" s="57">
        <v>0</v>
      </c>
      <c r="G98" s="88"/>
    </row>
    <row r="99" spans="1:7" s="12" customFormat="1" ht="55.5" customHeight="1" thickBot="1" x14ac:dyDescent="0.3">
      <c r="A99" s="58" t="s">
        <v>51</v>
      </c>
      <c r="B99" s="55">
        <f t="shared" si="1"/>
        <v>32915.699999999997</v>
      </c>
      <c r="C99" s="56">
        <v>0</v>
      </c>
      <c r="D99" s="56">
        <f>30897.87+2017.83</f>
        <v>32915.699999999997</v>
      </c>
      <c r="E99" s="56">
        <f t="shared" si="2"/>
        <v>32915.699999999997</v>
      </c>
      <c r="F99" s="57">
        <v>0</v>
      </c>
      <c r="G99" s="88"/>
    </row>
    <row r="100" spans="1:7" s="12" customFormat="1" ht="47.25" customHeight="1" thickBot="1" x14ac:dyDescent="0.3">
      <c r="A100" s="54" t="s">
        <v>52</v>
      </c>
      <c r="B100" s="55">
        <f t="shared" si="1"/>
        <v>0</v>
      </c>
      <c r="C100" s="56">
        <v>0</v>
      </c>
      <c r="D100" s="56">
        <v>0</v>
      </c>
      <c r="E100" s="56">
        <f t="shared" si="2"/>
        <v>0</v>
      </c>
      <c r="F100" s="57">
        <v>0</v>
      </c>
      <c r="G100" s="91"/>
    </row>
    <row r="101" spans="1:7" s="12" customFormat="1" ht="47.25" customHeight="1" thickBot="1" x14ac:dyDescent="0.3">
      <c r="A101" s="54" t="s">
        <v>53</v>
      </c>
      <c r="B101" s="55">
        <f t="shared" si="1"/>
        <v>40770</v>
      </c>
      <c r="C101" s="56">
        <v>0</v>
      </c>
      <c r="D101" s="56">
        <v>40770</v>
      </c>
      <c r="E101" s="56">
        <f t="shared" si="2"/>
        <v>40770</v>
      </c>
      <c r="F101" s="57">
        <v>0</v>
      </c>
      <c r="G101" s="88"/>
    </row>
    <row r="102" spans="1:7" s="12" customFormat="1" ht="47.25" customHeight="1" thickBot="1" x14ac:dyDescent="0.3">
      <c r="A102" s="54" t="s">
        <v>54</v>
      </c>
      <c r="B102" s="55">
        <f t="shared" si="1"/>
        <v>1407992.5099999998</v>
      </c>
      <c r="C102" s="56">
        <v>0</v>
      </c>
      <c r="D102" s="56">
        <f>147465.8+617.12+170730.59+59191.65+162390.19+74688.33+164152.8+76175.68+72241.36+210598.11+191032.13+77438.74</f>
        <v>1406722.4999999998</v>
      </c>
      <c r="E102" s="56">
        <f t="shared" si="2"/>
        <v>1406722.4999999998</v>
      </c>
      <c r="F102" s="57">
        <v>1270.01</v>
      </c>
      <c r="G102" s="91"/>
    </row>
    <row r="103" spans="1:7" s="12" customFormat="1" ht="47.25" customHeight="1" thickBot="1" x14ac:dyDescent="0.3">
      <c r="A103" s="54" t="s">
        <v>55</v>
      </c>
      <c r="B103" s="55">
        <f t="shared" si="1"/>
        <v>0</v>
      </c>
      <c r="C103" s="56">
        <v>0</v>
      </c>
      <c r="D103" s="56">
        <v>0</v>
      </c>
      <c r="E103" s="56">
        <f t="shared" si="2"/>
        <v>0</v>
      </c>
      <c r="F103" s="57">
        <v>0</v>
      </c>
      <c r="G103" s="88"/>
    </row>
    <row r="104" spans="1:7" s="12" customFormat="1" ht="54" customHeight="1" thickBot="1" x14ac:dyDescent="0.3">
      <c r="A104" s="58" t="s">
        <v>56</v>
      </c>
      <c r="B104" s="55">
        <f t="shared" si="1"/>
        <v>243752.9</v>
      </c>
      <c r="C104" s="56">
        <v>0</v>
      </c>
      <c r="D104" s="56">
        <f>44752.9</f>
        <v>44752.9</v>
      </c>
      <c r="E104" s="56">
        <f t="shared" si="2"/>
        <v>44752.9</v>
      </c>
      <c r="F104" s="57">
        <f>199000</f>
        <v>199000</v>
      </c>
      <c r="G104" s="88"/>
    </row>
    <row r="105" spans="1:7" s="12" customFormat="1" ht="47.25" customHeight="1" thickBot="1" x14ac:dyDescent="0.3">
      <c r="A105" s="54" t="s">
        <v>57</v>
      </c>
      <c r="B105" s="55">
        <f t="shared" si="1"/>
        <v>0</v>
      </c>
      <c r="C105" s="56">
        <v>0</v>
      </c>
      <c r="D105" s="56">
        <v>0</v>
      </c>
      <c r="E105" s="56">
        <f t="shared" si="2"/>
        <v>0</v>
      </c>
      <c r="F105" s="57">
        <v>0</v>
      </c>
      <c r="G105" s="88"/>
    </row>
    <row r="106" spans="1:7" s="12" customFormat="1" ht="55.5" customHeight="1" thickBot="1" x14ac:dyDescent="0.3">
      <c r="A106" s="58" t="s">
        <v>58</v>
      </c>
      <c r="B106" s="55">
        <f t="shared" si="1"/>
        <v>3800.3</v>
      </c>
      <c r="C106" s="56">
        <v>0</v>
      </c>
      <c r="D106" s="56">
        <f>166.55+146.3+165.45+187+176+132+231+176+143+176+187+231+506+1177</f>
        <v>3800.3</v>
      </c>
      <c r="E106" s="56">
        <f t="shared" si="2"/>
        <v>3800.3</v>
      </c>
      <c r="F106" s="57">
        <v>0</v>
      </c>
      <c r="G106" s="88"/>
    </row>
    <row r="107" spans="1:7" s="12" customFormat="1" ht="47.25" customHeight="1" thickBot="1" x14ac:dyDescent="0.3">
      <c r="A107" s="54" t="s">
        <v>59</v>
      </c>
      <c r="B107" s="55">
        <f t="shared" si="1"/>
        <v>0</v>
      </c>
      <c r="C107" s="56">
        <v>0</v>
      </c>
      <c r="D107" s="56">
        <v>0</v>
      </c>
      <c r="E107" s="56">
        <f t="shared" si="2"/>
        <v>0</v>
      </c>
      <c r="F107" s="57">
        <v>0</v>
      </c>
      <c r="G107" s="88"/>
    </row>
    <row r="108" spans="1:7" s="12" customFormat="1" ht="47.25" customHeight="1" thickBot="1" x14ac:dyDescent="0.3">
      <c r="A108" s="61" t="s">
        <v>0</v>
      </c>
      <c r="B108" s="62">
        <f>SUM(B92:B107)</f>
        <v>81331682.99000001</v>
      </c>
      <c r="C108" s="62">
        <f>SUM(C92:C107)</f>
        <v>4796509.0699999994</v>
      </c>
      <c r="D108" s="62">
        <f>SUM(D92:D107)</f>
        <v>74833039.640000001</v>
      </c>
      <c r="E108" s="62">
        <f>SUM(E92:E107)</f>
        <v>79629548.709999993</v>
      </c>
      <c r="F108" s="62">
        <f>SUM(F92:F107)</f>
        <v>6498643.3499999996</v>
      </c>
      <c r="G108" s="88"/>
    </row>
    <row r="109" spans="1:7" ht="30" customHeight="1" x14ac:dyDescent="0.25">
      <c r="A109" s="36" t="s">
        <v>60</v>
      </c>
      <c r="B109" s="37"/>
      <c r="C109" s="37"/>
      <c r="D109" s="37"/>
      <c r="E109" s="63"/>
    </row>
    <row r="110" spans="1:7" ht="30" customHeight="1" x14ac:dyDescent="0.25">
      <c r="A110" s="36" t="s">
        <v>61</v>
      </c>
      <c r="B110" s="37"/>
      <c r="C110" s="67"/>
      <c r="D110" s="4"/>
    </row>
    <row r="111" spans="1:7" ht="30" customHeight="1" x14ac:dyDescent="0.25">
      <c r="A111" s="36" t="s">
        <v>62</v>
      </c>
      <c r="B111" s="37"/>
      <c r="C111" s="65"/>
      <c r="D111" s="65"/>
      <c r="E111" s="67"/>
    </row>
    <row r="112" spans="1:7" ht="30" customHeight="1" x14ac:dyDescent="0.25">
      <c r="A112" s="36" t="s">
        <v>63</v>
      </c>
      <c r="B112" s="37"/>
      <c r="C112" s="37"/>
      <c r="D112" s="37"/>
      <c r="E112" s="63"/>
    </row>
    <row r="113" spans="1:6" ht="30" customHeight="1" x14ac:dyDescent="0.25">
      <c r="A113" s="36" t="s">
        <v>64</v>
      </c>
      <c r="B113" s="37"/>
      <c r="C113" s="37"/>
      <c r="D113" s="37"/>
      <c r="E113" s="63"/>
    </row>
    <row r="114" spans="1:6" ht="30" customHeight="1" x14ac:dyDescent="0.25">
      <c r="A114" s="36" t="s">
        <v>65</v>
      </c>
      <c r="B114" s="37"/>
      <c r="C114" s="37"/>
      <c r="D114" s="37"/>
      <c r="E114" s="63"/>
    </row>
    <row r="115" spans="1:6" ht="30" customHeight="1" x14ac:dyDescent="0.25">
      <c r="A115" s="69" t="s">
        <v>66</v>
      </c>
      <c r="B115" s="69"/>
      <c r="C115" s="69"/>
      <c r="D115" s="70"/>
      <c r="E115" s="71"/>
      <c r="F115" s="12"/>
    </row>
    <row r="116" spans="1:6" ht="30" customHeight="1" x14ac:dyDescent="0.25">
      <c r="A116" s="69" t="s">
        <v>67</v>
      </c>
      <c r="B116" s="69"/>
      <c r="C116" s="69"/>
      <c r="D116" s="72"/>
      <c r="E116" s="71"/>
      <c r="F116" s="12"/>
    </row>
    <row r="117" spans="1:6" ht="30" customHeight="1" x14ac:dyDescent="0.25">
      <c r="A117" s="69" t="s">
        <v>68</v>
      </c>
      <c r="B117" s="69"/>
      <c r="C117" s="69"/>
      <c r="D117" s="69"/>
      <c r="E117" s="71"/>
      <c r="F117" s="12"/>
    </row>
    <row r="118" spans="1:6" ht="30" customHeight="1" x14ac:dyDescent="0.25">
      <c r="A118" s="69" t="s">
        <v>69</v>
      </c>
      <c r="B118" s="69"/>
      <c r="C118" s="69"/>
      <c r="D118" s="69"/>
      <c r="E118" s="71"/>
      <c r="F118" s="12"/>
    </row>
    <row r="119" spans="1:6" ht="30" customHeight="1" x14ac:dyDescent="0.25">
      <c r="A119" s="69"/>
      <c r="B119" s="69"/>
      <c r="C119" s="69"/>
      <c r="D119" s="69"/>
      <c r="E119" s="71"/>
      <c r="F119" s="12"/>
    </row>
    <row r="120" spans="1:6" ht="30" customHeight="1" x14ac:dyDescent="0.25">
      <c r="A120" s="36" t="s">
        <v>70</v>
      </c>
      <c r="B120" s="37"/>
      <c r="C120" s="37"/>
      <c r="D120" s="37"/>
      <c r="E120" s="63"/>
    </row>
    <row r="121" spans="1:6" ht="30" customHeight="1" x14ac:dyDescent="0.25">
      <c r="A121" s="36"/>
      <c r="B121" s="37"/>
      <c r="C121" s="37"/>
      <c r="D121" s="37"/>
      <c r="E121" s="63"/>
    </row>
    <row r="122" spans="1:6" ht="30" customHeight="1" x14ac:dyDescent="0.25">
      <c r="A122" s="36"/>
      <c r="B122" s="37"/>
      <c r="C122" s="37"/>
      <c r="D122" s="37"/>
      <c r="E122" s="63"/>
    </row>
    <row r="123" spans="1:6" ht="30" customHeight="1" x14ac:dyDescent="0.25">
      <c r="A123" s="36"/>
      <c r="B123" s="37"/>
      <c r="C123" s="37"/>
      <c r="D123" s="37"/>
      <c r="E123" s="63"/>
    </row>
    <row r="124" spans="1:6" ht="30" customHeight="1" x14ac:dyDescent="0.25">
      <c r="A124" s="36"/>
      <c r="B124" s="37"/>
      <c r="C124" s="37"/>
      <c r="D124" s="37"/>
      <c r="E124" s="63"/>
    </row>
    <row r="125" spans="1:6" ht="30" customHeight="1" x14ac:dyDescent="0.25">
      <c r="A125" s="36"/>
      <c r="B125" s="37"/>
      <c r="C125" s="37"/>
      <c r="D125" s="37"/>
      <c r="E125" s="63"/>
    </row>
    <row r="126" spans="1:6" ht="30" customHeight="1" x14ac:dyDescent="0.25">
      <c r="A126" s="36"/>
      <c r="B126" s="37"/>
      <c r="C126" s="37"/>
      <c r="D126" s="37"/>
      <c r="E126" s="63"/>
    </row>
    <row r="127" spans="1:6" ht="30" customHeight="1" x14ac:dyDescent="0.25">
      <c r="A127" s="36"/>
      <c r="B127" s="37"/>
      <c r="C127" s="37"/>
      <c r="D127" s="37"/>
      <c r="E127" s="63"/>
    </row>
    <row r="128" spans="1:6" ht="30" customHeight="1" x14ac:dyDescent="0.25">
      <c r="A128" s="36"/>
      <c r="B128" s="37"/>
      <c r="C128" s="37"/>
      <c r="D128" s="37"/>
      <c r="E128" s="63"/>
    </row>
    <row r="129" spans="1:7" ht="30" customHeight="1" thickBot="1" x14ac:dyDescent="0.3">
      <c r="A129" s="222"/>
      <c r="B129" s="222"/>
      <c r="C129" s="222"/>
      <c r="D129" s="222"/>
      <c r="E129" s="222"/>
      <c r="F129" s="222"/>
    </row>
    <row r="130" spans="1:7" s="12" customFormat="1" ht="38.25" customHeight="1" thickBot="1" x14ac:dyDescent="0.3">
      <c r="A130" s="223" t="s">
        <v>71</v>
      </c>
      <c r="B130" s="224"/>
      <c r="C130" s="224"/>
      <c r="D130" s="224"/>
      <c r="E130" s="224"/>
      <c r="F130" s="225"/>
      <c r="G130" s="88"/>
    </row>
    <row r="131" spans="1:7" s="12" customFormat="1" ht="38.25" customHeight="1" thickBot="1" x14ac:dyDescent="0.3">
      <c r="A131" s="226" t="s">
        <v>72</v>
      </c>
      <c r="B131" s="227"/>
      <c r="C131" s="227"/>
      <c r="D131" s="228"/>
      <c r="E131" s="229">
        <f>E69</f>
        <v>86043388.100000009</v>
      </c>
      <c r="F131" s="230"/>
      <c r="G131" s="88"/>
    </row>
    <row r="132" spans="1:7" s="12" customFormat="1" ht="38.25" customHeight="1" thickBot="1" x14ac:dyDescent="0.3">
      <c r="A132" s="226" t="s">
        <v>73</v>
      </c>
      <c r="B132" s="227"/>
      <c r="C132" s="227"/>
      <c r="D132" s="228"/>
      <c r="E132" s="229">
        <f>C108+D108</f>
        <v>79629548.709999993</v>
      </c>
      <c r="F132" s="230"/>
      <c r="G132" s="88"/>
    </row>
    <row r="133" spans="1:7" s="12" customFormat="1" ht="38.25" customHeight="1" thickBot="1" x14ac:dyDescent="0.3">
      <c r="A133" s="226" t="s">
        <v>74</v>
      </c>
      <c r="B133" s="227"/>
      <c r="C133" s="227"/>
      <c r="D133" s="228"/>
      <c r="E133" s="231">
        <f>E66-(E132-E68)</f>
        <v>6413839.3900000155</v>
      </c>
      <c r="F133" s="232"/>
      <c r="G133" s="88"/>
    </row>
    <row r="134" spans="1:7" s="12" customFormat="1" ht="38.25" customHeight="1" thickBot="1" x14ac:dyDescent="0.3">
      <c r="A134" s="226" t="s">
        <v>75</v>
      </c>
      <c r="B134" s="227"/>
      <c r="C134" s="227"/>
      <c r="D134" s="228"/>
      <c r="E134" s="236">
        <v>0</v>
      </c>
      <c r="F134" s="237"/>
      <c r="G134" s="88"/>
    </row>
    <row r="135" spans="1:7" s="12" customFormat="1" ht="38.25" customHeight="1" thickBot="1" x14ac:dyDescent="0.3">
      <c r="A135" s="226" t="s">
        <v>76</v>
      </c>
      <c r="B135" s="227"/>
      <c r="C135" s="227"/>
      <c r="D135" s="228"/>
      <c r="E135" s="231">
        <f>E133-E134</f>
        <v>6413839.3900000155</v>
      </c>
      <c r="F135" s="232"/>
      <c r="G135" s="35"/>
    </row>
    <row r="136" spans="1:7" ht="30" customHeight="1" x14ac:dyDescent="0.25">
      <c r="A136" s="40"/>
      <c r="B136" s="39"/>
      <c r="C136" s="39"/>
      <c r="D136" s="39"/>
      <c r="G136" s="64"/>
    </row>
    <row r="137" spans="1:7" ht="30" customHeight="1" x14ac:dyDescent="0.25">
      <c r="A137" s="233" t="s">
        <v>77</v>
      </c>
      <c r="B137" s="233"/>
      <c r="C137" s="233"/>
      <c r="D137" s="233"/>
      <c r="E137" s="233"/>
      <c r="F137" s="233"/>
    </row>
    <row r="138" spans="1:7" ht="30" customHeight="1" x14ac:dyDescent="0.25">
      <c r="A138" s="233"/>
      <c r="B138" s="233"/>
      <c r="C138" s="233"/>
      <c r="D138" s="233"/>
      <c r="E138" s="233"/>
      <c r="F138" s="233"/>
    </row>
    <row r="139" spans="1:7" ht="30" customHeight="1" x14ac:dyDescent="0.25">
      <c r="A139" s="73"/>
      <c r="B139" s="73"/>
      <c r="C139" s="73"/>
      <c r="D139" s="73"/>
      <c r="E139" s="73"/>
      <c r="F139" s="73"/>
    </row>
    <row r="140" spans="1:7" ht="30" customHeight="1" x14ac:dyDescent="0.25">
      <c r="A140" s="73"/>
      <c r="B140" s="73"/>
      <c r="C140" s="73"/>
      <c r="D140" s="73"/>
      <c r="E140" s="73"/>
      <c r="F140" s="73"/>
    </row>
    <row r="141" spans="1:7" ht="30" customHeight="1" x14ac:dyDescent="0.25">
      <c r="A141" s="73"/>
      <c r="B141" s="73"/>
      <c r="C141" s="73"/>
      <c r="D141" s="73"/>
      <c r="E141" s="73"/>
      <c r="F141" s="73"/>
    </row>
    <row r="142" spans="1:7" ht="30" customHeight="1" x14ac:dyDescent="0.25">
      <c r="A142" s="73"/>
      <c r="B142" s="73"/>
      <c r="C142" s="73"/>
      <c r="D142" s="73"/>
      <c r="E142" s="73"/>
      <c r="F142" s="73"/>
    </row>
    <row r="143" spans="1:7" ht="30" customHeight="1" x14ac:dyDescent="0.25">
      <c r="A143" s="74"/>
      <c r="B143" s="75"/>
      <c r="C143" s="75"/>
      <c r="D143" s="75"/>
      <c r="E143" s="76"/>
      <c r="F143" s="12"/>
    </row>
    <row r="144" spans="1:7" ht="30" customHeight="1" x14ac:dyDescent="0.25">
      <c r="A144" s="77" t="s">
        <v>212</v>
      </c>
      <c r="B144" s="78"/>
      <c r="C144" s="78"/>
      <c r="D144" s="78"/>
      <c r="E144" s="79"/>
      <c r="F144" s="80"/>
    </row>
    <row r="145" spans="1:6" ht="30" customHeight="1" x14ac:dyDescent="0.25">
      <c r="A145" s="77"/>
      <c r="B145" s="78"/>
      <c r="C145" s="78"/>
      <c r="D145" s="78"/>
      <c r="E145" s="79"/>
      <c r="F145" s="80"/>
    </row>
    <row r="149" spans="1:6" x14ac:dyDescent="0.25">
      <c r="E149" s="38"/>
    </row>
    <row r="152" spans="1:6" ht="30" x14ac:dyDescent="0.25">
      <c r="A152" s="84"/>
      <c r="B152" s="15"/>
      <c r="C152" s="15"/>
      <c r="D152" s="15"/>
      <c r="E152" s="12"/>
    </row>
    <row r="153" spans="1:6" ht="30" x14ac:dyDescent="0.25">
      <c r="A153" s="84"/>
      <c r="B153" s="15"/>
      <c r="C153" s="15"/>
      <c r="D153" s="15"/>
      <c r="E153" s="12"/>
    </row>
    <row r="156" spans="1:6" ht="48.75" customHeight="1" x14ac:dyDescent="0.25">
      <c r="B156" s="15"/>
      <c r="C156" s="15"/>
      <c r="D156" s="15"/>
      <c r="E156" s="12"/>
    </row>
    <row r="157" spans="1:6" ht="48.75" customHeight="1" x14ac:dyDescent="0.25">
      <c r="B157" s="15"/>
      <c r="C157" s="15"/>
      <c r="D157" s="15"/>
      <c r="E157" s="12"/>
    </row>
    <row r="163" spans="2:6" x14ac:dyDescent="0.25">
      <c r="B163" s="15"/>
      <c r="C163" s="15"/>
      <c r="D163" s="15"/>
      <c r="E163" s="12"/>
      <c r="F163" s="5"/>
    </row>
    <row r="164" spans="2:6" x14ac:dyDescent="0.25">
      <c r="B164" s="15"/>
      <c r="C164" s="15"/>
      <c r="D164" s="15"/>
      <c r="E164" s="12"/>
      <c r="F164" s="6"/>
    </row>
    <row r="166" spans="2:6" ht="30" x14ac:dyDescent="0.25">
      <c r="B166" s="84"/>
      <c r="C166" s="84"/>
      <c r="D166" s="84"/>
      <c r="E166" s="85"/>
    </row>
    <row r="167" spans="2:6" ht="30" x14ac:dyDescent="0.25">
      <c r="B167" s="84"/>
      <c r="C167" s="86"/>
      <c r="D167" s="183"/>
      <c r="E167" s="50"/>
    </row>
    <row r="170" spans="2:6" ht="30" x14ac:dyDescent="0.25">
      <c r="B170" s="216"/>
      <c r="C170" s="216"/>
      <c r="D170" s="84"/>
      <c r="E170" s="85"/>
    </row>
    <row r="171" spans="2:6" ht="30" x14ac:dyDescent="0.25">
      <c r="B171" s="216"/>
      <c r="C171" s="216"/>
      <c r="D171" s="216"/>
      <c r="E171" s="216"/>
    </row>
    <row r="177" spans="2:5" ht="30" x14ac:dyDescent="0.25">
      <c r="B177" s="216"/>
      <c r="C177" s="216"/>
      <c r="D177" s="84"/>
      <c r="E177" s="85"/>
    </row>
    <row r="178" spans="2:5" ht="30" x14ac:dyDescent="0.25">
      <c r="B178" s="216"/>
      <c r="C178" s="216"/>
      <c r="D178" s="86"/>
      <c r="E178" s="45"/>
    </row>
  </sheetData>
  <mergeCells count="101">
    <mergeCell ref="E43:F43"/>
    <mergeCell ref="E44:F44"/>
    <mergeCell ref="E42:F42"/>
    <mergeCell ref="E46:F46"/>
    <mergeCell ref="A1:E1"/>
    <mergeCell ref="A6:E6"/>
    <mergeCell ref="A7:F7"/>
    <mergeCell ref="A8:F8"/>
    <mergeCell ref="A16:F16"/>
    <mergeCell ref="A27:B27"/>
    <mergeCell ref="E27:F27"/>
    <mergeCell ref="A17:F17"/>
    <mergeCell ref="A18:F18"/>
    <mergeCell ref="A22:B22"/>
    <mergeCell ref="E22:F22"/>
    <mergeCell ref="A23:B23"/>
    <mergeCell ref="E23:F23"/>
    <mergeCell ref="A25:B25"/>
    <mergeCell ref="E25:F25"/>
    <mergeCell ref="A24:B24"/>
    <mergeCell ref="E24:F24"/>
    <mergeCell ref="A62:D62"/>
    <mergeCell ref="E62:F62"/>
    <mergeCell ref="A63:D63"/>
    <mergeCell ref="E63:F63"/>
    <mergeCell ref="E34:F34"/>
    <mergeCell ref="E35:F35"/>
    <mergeCell ref="E36:F36"/>
    <mergeCell ref="E38:F38"/>
    <mergeCell ref="E40:F40"/>
    <mergeCell ref="E48:F48"/>
    <mergeCell ref="E54:F54"/>
    <mergeCell ref="E56:F56"/>
    <mergeCell ref="E59:F59"/>
    <mergeCell ref="E37:F37"/>
    <mergeCell ref="E53:F53"/>
    <mergeCell ref="E55:F55"/>
    <mergeCell ref="E52:F52"/>
    <mergeCell ref="E57:F57"/>
    <mergeCell ref="E60:F60"/>
    <mergeCell ref="A36:A37"/>
    <mergeCell ref="A38:A39"/>
    <mergeCell ref="A40:A42"/>
    <mergeCell ref="A48:A50"/>
    <mergeCell ref="A51:A53"/>
    <mergeCell ref="A72:C72"/>
    <mergeCell ref="A64:D64"/>
    <mergeCell ref="E64:F64"/>
    <mergeCell ref="A65:D65"/>
    <mergeCell ref="E65:F65"/>
    <mergeCell ref="A66:D66"/>
    <mergeCell ref="E66:F66"/>
    <mergeCell ref="A67:F67"/>
    <mergeCell ref="A68:D68"/>
    <mergeCell ref="E68:F68"/>
    <mergeCell ref="A69:D69"/>
    <mergeCell ref="E69:F69"/>
    <mergeCell ref="A132:D132"/>
    <mergeCell ref="E132:F132"/>
    <mergeCell ref="A133:D133"/>
    <mergeCell ref="E133:F133"/>
    <mergeCell ref="A134:D134"/>
    <mergeCell ref="E134:F134"/>
    <mergeCell ref="A77:F78"/>
    <mergeCell ref="A83:F83"/>
    <mergeCell ref="A129:F129"/>
    <mergeCell ref="A130:F130"/>
    <mergeCell ref="A131:D131"/>
    <mergeCell ref="E131:F131"/>
    <mergeCell ref="B177:C177"/>
    <mergeCell ref="B178:C178"/>
    <mergeCell ref="A135:D135"/>
    <mergeCell ref="E135:F135"/>
    <mergeCell ref="A137:F138"/>
    <mergeCell ref="B170:C170"/>
    <mergeCell ref="B171:C171"/>
    <mergeCell ref="D171:E171"/>
    <mergeCell ref="E61:F61"/>
    <mergeCell ref="A59:A61"/>
    <mergeCell ref="E47:F47"/>
    <mergeCell ref="A43:A47"/>
    <mergeCell ref="E58:F58"/>
    <mergeCell ref="A56:A58"/>
    <mergeCell ref="A26:B26"/>
    <mergeCell ref="E26:F26"/>
    <mergeCell ref="A29:B29"/>
    <mergeCell ref="E29:F29"/>
    <mergeCell ref="A30:B30"/>
    <mergeCell ref="E30:F30"/>
    <mergeCell ref="A28:B28"/>
    <mergeCell ref="E28:F28"/>
    <mergeCell ref="E51:F51"/>
    <mergeCell ref="E32:F32"/>
    <mergeCell ref="E33:F33"/>
    <mergeCell ref="A31:F31"/>
    <mergeCell ref="E39:F39"/>
    <mergeCell ref="E41:F41"/>
    <mergeCell ref="E45:F45"/>
    <mergeCell ref="E49:F49"/>
    <mergeCell ref="E50:F50"/>
    <mergeCell ref="A54:A55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35" orientation="portrait" r:id="rId1"/>
  <rowBreaks count="2" manualBreakCount="2">
    <brk id="72" max="5" man="1"/>
    <brk id="12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S223"/>
  <sheetViews>
    <sheetView zoomScale="50" zoomScaleNormal="50" zoomScaleSheetLayoutView="55" workbookViewId="0">
      <selection activeCell="C12" sqref="C12"/>
    </sheetView>
  </sheetViews>
  <sheetFormatPr defaultColWidth="0" defaultRowHeight="25.5" x14ac:dyDescent="0.25"/>
  <cols>
    <col min="1" max="1" width="43" style="16" customWidth="1"/>
    <col min="2" max="4" width="43" style="17" customWidth="1"/>
    <col min="5" max="5" width="43" style="18" customWidth="1"/>
    <col min="6" max="6" width="43" style="1" customWidth="1"/>
    <col min="7" max="7" width="34.7109375" style="13" customWidth="1"/>
    <col min="8" max="8" width="46.140625" style="14" bestFit="1" customWidth="1"/>
    <col min="9" max="9" width="28.7109375" style="15" bestFit="1" customWidth="1"/>
    <col min="10" max="12" width="9.140625" style="15" customWidth="1"/>
    <col min="13" max="13" width="1.7109375" style="15" customWidth="1"/>
    <col min="14" max="25" width="9.140625" style="15" customWidth="1"/>
    <col min="26" max="26" width="1.42578125" style="15" customWidth="1"/>
    <col min="27" max="49" width="9.140625" style="15" customWidth="1"/>
    <col min="50" max="50" width="1.28515625" style="15" customWidth="1"/>
    <col min="51" max="71" width="9.140625" style="15" customWidth="1"/>
    <col min="72" max="72" width="1.28515625" style="15" customWidth="1"/>
    <col min="73" max="90" width="9.140625" style="15" customWidth="1"/>
    <col min="91" max="91" width="0.42578125" style="15" customWidth="1"/>
    <col min="92" max="92" width="1.140625" style="15" customWidth="1"/>
    <col min="93" max="115" width="9.140625" style="15" customWidth="1"/>
    <col min="116" max="116" width="1.7109375" style="15" customWidth="1"/>
    <col min="117" max="162" width="9.140625" style="15" customWidth="1"/>
    <col min="163" max="163" width="3.42578125" style="15" customWidth="1"/>
    <col min="164" max="186" width="9.140625" style="15" customWidth="1"/>
    <col min="187" max="187" width="2" style="15" customWidth="1"/>
    <col min="188" max="188" width="8" style="15" customWidth="1"/>
    <col min="189" max="193" width="9.140625" style="15" customWidth="1"/>
    <col min="194" max="194" width="8.7109375" style="15" customWidth="1"/>
    <col min="195" max="203" width="9.140625" style="15" customWidth="1"/>
    <col min="204" max="204" width="3.7109375" style="15" customWidth="1"/>
    <col min="205" max="206" width="9.140625" style="15" customWidth="1"/>
    <col min="207" max="207" width="2" style="15" customWidth="1"/>
    <col min="208" max="208" width="8" style="15" customWidth="1"/>
    <col min="209" max="213" width="9.140625" style="15" customWidth="1"/>
    <col min="214" max="214" width="8.7109375" style="15" customWidth="1"/>
    <col min="215" max="223" width="9.140625" style="15" customWidth="1"/>
    <col min="224" max="224" width="3.7109375" style="15" customWidth="1"/>
    <col min="225" max="226" width="9.140625" style="15" customWidth="1"/>
    <col min="227" max="227" width="2" style="15" customWidth="1"/>
    <col min="228" max="228" width="8" style="15" customWidth="1"/>
    <col min="229" max="233" width="9.140625" style="15" customWidth="1"/>
    <col min="234" max="234" width="8.7109375" style="15" customWidth="1"/>
    <col min="235" max="243" width="9.140625" style="15" customWidth="1"/>
    <col min="244" max="244" width="3.7109375" style="15" customWidth="1"/>
    <col min="245" max="245" width="9.140625" style="15" customWidth="1"/>
    <col min="246" max="253" width="0" style="15" hidden="1" customWidth="1"/>
    <col min="254" max="16384" width="9.140625" style="15" hidden="1"/>
  </cols>
  <sheetData>
    <row r="7" spans="1:8" ht="30" customHeight="1" x14ac:dyDescent="0.25">
      <c r="A7" s="222"/>
      <c r="B7" s="222"/>
      <c r="C7" s="222"/>
      <c r="D7" s="222"/>
      <c r="E7" s="222"/>
      <c r="F7" s="12"/>
    </row>
    <row r="8" spans="1:8" ht="30" customHeight="1" x14ac:dyDescent="0.25">
      <c r="A8" s="222"/>
      <c r="B8" s="222"/>
      <c r="C8" s="222"/>
      <c r="D8" s="222"/>
      <c r="E8" s="222"/>
      <c r="F8" s="12"/>
    </row>
    <row r="9" spans="1:8" ht="30" customHeight="1" x14ac:dyDescent="0.25">
      <c r="A9" s="244" t="s">
        <v>257</v>
      </c>
      <c r="B9" s="244"/>
      <c r="C9" s="244"/>
      <c r="D9" s="244"/>
      <c r="E9" s="244"/>
      <c r="F9" s="244"/>
    </row>
    <row r="10" spans="1:8" ht="30" customHeight="1" x14ac:dyDescent="0.25">
      <c r="A10" s="244" t="s">
        <v>1</v>
      </c>
      <c r="B10" s="244"/>
      <c r="C10" s="244"/>
      <c r="D10" s="244"/>
      <c r="E10" s="244"/>
      <c r="F10" s="244"/>
    </row>
    <row r="11" spans="1:8" ht="30" customHeight="1" x14ac:dyDescent="0.25"/>
    <row r="12" spans="1:8" s="12" customFormat="1" ht="30" customHeight="1" x14ac:dyDescent="0.25">
      <c r="A12" s="19" t="s">
        <v>241</v>
      </c>
      <c r="B12" s="20"/>
      <c r="C12" s="20"/>
      <c r="D12" s="20"/>
      <c r="E12" s="20"/>
      <c r="G12" s="13"/>
      <c r="H12" s="14"/>
    </row>
    <row r="13" spans="1:8" s="12" customFormat="1" ht="30" customHeight="1" x14ac:dyDescent="0.25">
      <c r="A13" s="19" t="s">
        <v>242</v>
      </c>
      <c r="B13" s="20"/>
      <c r="C13" s="20"/>
      <c r="D13" s="20"/>
      <c r="E13" s="20"/>
      <c r="G13" s="13"/>
      <c r="H13" s="14"/>
    </row>
    <row r="14" spans="1:8" s="12" customFormat="1" ht="30" customHeight="1" x14ac:dyDescent="0.25">
      <c r="A14" s="19" t="s">
        <v>243</v>
      </c>
      <c r="B14" s="20"/>
      <c r="C14" s="20"/>
      <c r="D14" s="20"/>
      <c r="E14" s="20"/>
      <c r="G14" s="13"/>
      <c r="H14" s="14"/>
    </row>
    <row r="15" spans="1:8" s="12" customFormat="1" ht="30" customHeight="1" x14ac:dyDescent="0.25">
      <c r="A15" s="19" t="s">
        <v>244</v>
      </c>
      <c r="B15" s="20"/>
      <c r="C15" s="20"/>
      <c r="D15" s="20"/>
      <c r="E15" s="20"/>
      <c r="G15" s="13"/>
      <c r="H15" s="14"/>
    </row>
    <row r="16" spans="1:8" s="12" customFormat="1" ht="30" customHeight="1" x14ac:dyDescent="0.25">
      <c r="A16" s="19" t="s">
        <v>245</v>
      </c>
      <c r="B16" s="20"/>
      <c r="C16" s="20"/>
      <c r="D16" s="20"/>
      <c r="E16" s="20"/>
      <c r="G16" s="13"/>
      <c r="H16" s="14"/>
    </row>
    <row r="17" spans="1:10" s="12" customFormat="1" ht="30" customHeight="1" x14ac:dyDescent="0.25">
      <c r="A17" s="19" t="s">
        <v>246</v>
      </c>
      <c r="B17" s="20"/>
      <c r="C17" s="20"/>
      <c r="D17" s="20"/>
      <c r="E17" s="20"/>
      <c r="G17" s="13"/>
      <c r="H17" s="14"/>
    </row>
    <row r="18" spans="1:10" s="12" customFormat="1" ht="30" customHeight="1" x14ac:dyDescent="0.25">
      <c r="A18" s="245" t="s">
        <v>247</v>
      </c>
      <c r="B18" s="245"/>
      <c r="C18" s="245"/>
      <c r="D18" s="245"/>
      <c r="E18" s="245"/>
      <c r="F18" s="245"/>
      <c r="G18" s="21"/>
      <c r="H18" s="14"/>
    </row>
    <row r="19" spans="1:10" s="12" customFormat="1" ht="30" customHeight="1" x14ac:dyDescent="0.25">
      <c r="A19" s="246" t="s">
        <v>2</v>
      </c>
      <c r="B19" s="246"/>
      <c r="C19" s="246"/>
      <c r="D19" s="246"/>
      <c r="E19" s="246"/>
      <c r="F19" s="246"/>
      <c r="G19" s="21"/>
      <c r="H19" s="14"/>
    </row>
    <row r="20" spans="1:10" s="12" customFormat="1" ht="30" customHeight="1" x14ac:dyDescent="0.25">
      <c r="A20" s="246" t="s">
        <v>3</v>
      </c>
      <c r="B20" s="246"/>
      <c r="C20" s="246"/>
      <c r="D20" s="246"/>
      <c r="E20" s="246"/>
      <c r="F20" s="246"/>
      <c r="G20" s="21"/>
      <c r="H20" s="14"/>
    </row>
    <row r="21" spans="1:10" s="12" customFormat="1" ht="30" customHeight="1" x14ac:dyDescent="0.25">
      <c r="A21" s="19" t="s">
        <v>248</v>
      </c>
      <c r="B21" s="20"/>
      <c r="C21" s="20"/>
      <c r="D21" s="20"/>
      <c r="E21" s="20"/>
      <c r="F21" s="1"/>
      <c r="G21" s="13"/>
      <c r="H21" s="14"/>
    </row>
    <row r="22" spans="1:10" s="12" customFormat="1" ht="30" customHeight="1" x14ac:dyDescent="0.25">
      <c r="A22" s="19" t="s">
        <v>249</v>
      </c>
      <c r="B22" s="20"/>
      <c r="C22" s="20"/>
      <c r="D22" s="20"/>
      <c r="E22" s="20"/>
      <c r="F22" s="1"/>
      <c r="G22" s="13"/>
    </row>
    <row r="23" spans="1:10" ht="30" customHeight="1" thickBot="1" x14ac:dyDescent="0.3">
      <c r="A23" s="22"/>
      <c r="B23" s="23"/>
      <c r="C23" s="23"/>
      <c r="D23" s="23"/>
      <c r="E23" s="20"/>
      <c r="G23" s="14"/>
    </row>
    <row r="24" spans="1:10" s="12" customFormat="1" ht="37.5" customHeight="1" thickBot="1" x14ac:dyDescent="0.3">
      <c r="A24" s="223" t="s">
        <v>4</v>
      </c>
      <c r="B24" s="225"/>
      <c r="C24" s="24" t="s">
        <v>5</v>
      </c>
      <c r="D24" s="24" t="s">
        <v>6</v>
      </c>
      <c r="E24" s="223" t="s">
        <v>7</v>
      </c>
      <c r="F24" s="225"/>
      <c r="G24" s="13"/>
      <c r="H24" s="14"/>
    </row>
    <row r="25" spans="1:10" s="29" customFormat="1" ht="51" customHeight="1" thickBot="1" x14ac:dyDescent="0.3">
      <c r="A25" s="189" t="s">
        <v>252</v>
      </c>
      <c r="B25" s="190"/>
      <c r="C25" s="25">
        <v>44562</v>
      </c>
      <c r="D25" s="25">
        <v>44926</v>
      </c>
      <c r="E25" s="193">
        <v>54732898.899999999</v>
      </c>
      <c r="F25" s="194"/>
      <c r="G25" s="26"/>
      <c r="H25" s="27"/>
      <c r="I25" s="28"/>
    </row>
    <row r="26" spans="1:10" s="29" customFormat="1" ht="107.25" customHeight="1" thickBot="1" x14ac:dyDescent="0.3">
      <c r="A26" s="189" t="s">
        <v>251</v>
      </c>
      <c r="B26" s="190"/>
      <c r="C26" s="25" t="s">
        <v>138</v>
      </c>
      <c r="D26" s="25">
        <v>44926</v>
      </c>
      <c r="E26" s="193">
        <v>129481.56</v>
      </c>
      <c r="F26" s="194"/>
      <c r="G26" s="26"/>
      <c r="H26" s="27"/>
    </row>
    <row r="27" spans="1:10" s="109" customFormat="1" ht="197.25" customHeight="1" thickBot="1" x14ac:dyDescent="0.3">
      <c r="A27" s="189" t="s">
        <v>100</v>
      </c>
      <c r="B27" s="190"/>
      <c r="C27" s="92" t="s">
        <v>171</v>
      </c>
      <c r="D27" s="107" t="s">
        <v>149</v>
      </c>
      <c r="E27" s="191">
        <v>19500</v>
      </c>
      <c r="F27" s="192"/>
      <c r="G27" s="108"/>
      <c r="H27" s="88"/>
    </row>
    <row r="28" spans="1:10" s="109" customFormat="1" ht="199.5" customHeight="1" thickBot="1" x14ac:dyDescent="0.3">
      <c r="A28" s="189" t="s">
        <v>105</v>
      </c>
      <c r="B28" s="190"/>
      <c r="C28" s="110" t="s">
        <v>104</v>
      </c>
      <c r="D28" s="107" t="s">
        <v>149</v>
      </c>
      <c r="E28" s="193">
        <v>9000</v>
      </c>
      <c r="F28" s="194"/>
      <c r="G28" s="111"/>
      <c r="H28" s="88"/>
    </row>
    <row r="29" spans="1:10" s="29" customFormat="1" ht="306" customHeight="1" thickBot="1" x14ac:dyDescent="0.3">
      <c r="A29" s="189" t="s">
        <v>140</v>
      </c>
      <c r="B29" s="190"/>
      <c r="C29" s="25" t="s">
        <v>141</v>
      </c>
      <c r="D29" s="25" t="s">
        <v>81</v>
      </c>
      <c r="E29" s="193">
        <v>2990.82</v>
      </c>
      <c r="F29" s="194"/>
      <c r="G29" s="26"/>
      <c r="H29" s="27"/>
    </row>
    <row r="30" spans="1:10" s="29" customFormat="1" ht="144" customHeight="1" thickBot="1" x14ac:dyDescent="0.3">
      <c r="A30" s="189" t="s">
        <v>147</v>
      </c>
      <c r="B30" s="190"/>
      <c r="C30" s="25" t="s">
        <v>148</v>
      </c>
      <c r="D30" s="25" t="s">
        <v>149</v>
      </c>
      <c r="E30" s="193">
        <v>30400</v>
      </c>
      <c r="F30" s="194"/>
      <c r="G30" s="26"/>
      <c r="H30" s="27"/>
    </row>
    <row r="31" spans="1:10" s="29" customFormat="1" ht="147" customHeight="1" thickBot="1" x14ac:dyDescent="0.3">
      <c r="A31" s="189" t="s">
        <v>150</v>
      </c>
      <c r="B31" s="190"/>
      <c r="C31" s="25" t="s">
        <v>151</v>
      </c>
      <c r="D31" s="25" t="s">
        <v>149</v>
      </c>
      <c r="E31" s="193">
        <v>30000</v>
      </c>
      <c r="F31" s="194"/>
      <c r="G31" s="26"/>
      <c r="H31" s="27"/>
    </row>
    <row r="32" spans="1:10" s="29" customFormat="1" ht="183" customHeight="1" thickBot="1" x14ac:dyDescent="0.3">
      <c r="A32" s="189" t="s">
        <v>253</v>
      </c>
      <c r="B32" s="190"/>
      <c r="C32" s="25" t="s">
        <v>157</v>
      </c>
      <c r="D32" s="25">
        <v>44926</v>
      </c>
      <c r="E32" s="193">
        <v>114761.79</v>
      </c>
      <c r="F32" s="194"/>
      <c r="G32" s="26"/>
      <c r="H32" s="27"/>
      <c r="I32" s="28"/>
      <c r="J32" s="28"/>
    </row>
    <row r="33" spans="1:10" s="29" customFormat="1" ht="216.75" customHeight="1" thickBot="1" x14ac:dyDescent="0.3">
      <c r="A33" s="189" t="s">
        <v>254</v>
      </c>
      <c r="B33" s="190"/>
      <c r="C33" s="25" t="s">
        <v>158</v>
      </c>
      <c r="D33" s="25" t="s">
        <v>81</v>
      </c>
      <c r="E33" s="193">
        <v>109609.12</v>
      </c>
      <c r="F33" s="194"/>
      <c r="G33" s="26"/>
      <c r="H33" s="27"/>
      <c r="I33" s="28"/>
      <c r="J33" s="28"/>
    </row>
    <row r="34" spans="1:10" s="29" customFormat="1" ht="194.25" customHeight="1" thickBot="1" x14ac:dyDescent="0.3">
      <c r="A34" s="189" t="s">
        <v>175</v>
      </c>
      <c r="B34" s="190"/>
      <c r="C34" s="25" t="s">
        <v>159</v>
      </c>
      <c r="D34" s="25" t="s">
        <v>81</v>
      </c>
      <c r="E34" s="193">
        <v>19199.14</v>
      </c>
      <c r="F34" s="194"/>
      <c r="G34" s="26"/>
      <c r="H34" s="27"/>
      <c r="J34" s="28"/>
    </row>
    <row r="35" spans="1:10" s="29" customFormat="1" ht="191.25" customHeight="1" thickBot="1" x14ac:dyDescent="0.3">
      <c r="A35" s="189" t="s">
        <v>191</v>
      </c>
      <c r="B35" s="190"/>
      <c r="C35" s="25" t="s">
        <v>159</v>
      </c>
      <c r="D35" s="25" t="s">
        <v>81</v>
      </c>
      <c r="E35" s="193">
        <v>120474.1</v>
      </c>
      <c r="F35" s="194"/>
      <c r="G35" s="26"/>
      <c r="H35" s="27"/>
      <c r="J35" s="28"/>
    </row>
    <row r="36" spans="1:10" s="29" customFormat="1" ht="192" customHeight="1" thickBot="1" x14ac:dyDescent="0.3">
      <c r="A36" s="189" t="s">
        <v>190</v>
      </c>
      <c r="B36" s="190"/>
      <c r="C36" s="25" t="s">
        <v>159</v>
      </c>
      <c r="D36" s="25" t="s">
        <v>81</v>
      </c>
      <c r="E36" s="193">
        <v>15959.25</v>
      </c>
      <c r="F36" s="194"/>
      <c r="G36" s="26"/>
      <c r="H36" s="27"/>
      <c r="J36" s="28"/>
    </row>
    <row r="37" spans="1:10" s="29" customFormat="1" ht="228" customHeight="1" thickBot="1" x14ac:dyDescent="0.3">
      <c r="A37" s="189" t="s">
        <v>174</v>
      </c>
      <c r="B37" s="190"/>
      <c r="C37" s="25" t="s">
        <v>160</v>
      </c>
      <c r="D37" s="25" t="s">
        <v>81</v>
      </c>
      <c r="E37" s="193">
        <v>123738.4</v>
      </c>
      <c r="F37" s="194"/>
      <c r="G37" s="26"/>
      <c r="H37" s="27"/>
      <c r="J37" s="28"/>
    </row>
    <row r="38" spans="1:10" s="29" customFormat="1" ht="195" customHeight="1" thickBot="1" x14ac:dyDescent="0.3">
      <c r="A38" s="189" t="s">
        <v>173</v>
      </c>
      <c r="B38" s="190"/>
      <c r="C38" s="25">
        <v>44832</v>
      </c>
      <c r="D38" s="25" t="s">
        <v>81</v>
      </c>
      <c r="E38" s="193">
        <v>152379.51999999999</v>
      </c>
      <c r="F38" s="194"/>
      <c r="G38" s="26"/>
      <c r="H38" s="27"/>
      <c r="I38" s="28"/>
      <c r="J38" s="28"/>
    </row>
    <row r="39" spans="1:10" s="29" customFormat="1" ht="207" customHeight="1" thickBot="1" x14ac:dyDescent="0.3">
      <c r="A39" s="189" t="s">
        <v>223</v>
      </c>
      <c r="B39" s="190"/>
      <c r="C39" s="25" t="s">
        <v>165</v>
      </c>
      <c r="D39" s="25" t="s">
        <v>81</v>
      </c>
      <c r="E39" s="193">
        <v>655039.12</v>
      </c>
      <c r="F39" s="194"/>
      <c r="G39" s="26"/>
      <c r="H39" s="27"/>
      <c r="I39" s="28"/>
      <c r="J39" s="28"/>
    </row>
    <row r="40" spans="1:10" s="29" customFormat="1" ht="207" customHeight="1" thickBot="1" x14ac:dyDescent="0.3">
      <c r="A40" s="189" t="s">
        <v>255</v>
      </c>
      <c r="B40" s="190"/>
      <c r="C40" s="25" t="s">
        <v>256</v>
      </c>
      <c r="D40" s="25" t="s">
        <v>81</v>
      </c>
      <c r="E40" s="193">
        <v>720641.58</v>
      </c>
      <c r="F40" s="194"/>
      <c r="G40" s="26"/>
      <c r="H40" s="27"/>
      <c r="I40" s="28"/>
      <c r="J40" s="28"/>
    </row>
    <row r="41" spans="1:10" s="12" customFormat="1" ht="60" customHeight="1" thickBot="1" x14ac:dyDescent="0.3">
      <c r="A41" s="223" t="s">
        <v>8</v>
      </c>
      <c r="B41" s="224"/>
      <c r="C41" s="224"/>
      <c r="D41" s="224"/>
      <c r="E41" s="224"/>
      <c r="F41" s="225"/>
      <c r="G41" s="13"/>
      <c r="H41" s="14"/>
    </row>
    <row r="42" spans="1:10" s="12" customFormat="1" ht="101.25" customHeight="1" thickBot="1" x14ac:dyDescent="0.3">
      <c r="A42" s="30" t="s">
        <v>236</v>
      </c>
      <c r="B42" s="30" t="s">
        <v>9</v>
      </c>
      <c r="C42" s="31" t="s">
        <v>10</v>
      </c>
      <c r="D42" s="32" t="s">
        <v>11</v>
      </c>
      <c r="E42" s="241" t="s">
        <v>12</v>
      </c>
      <c r="F42" s="241"/>
      <c r="G42" s="13"/>
      <c r="H42" s="14"/>
    </row>
    <row r="43" spans="1:10" s="12" customFormat="1" ht="28.5" customHeight="1" thickBot="1" x14ac:dyDescent="0.35">
      <c r="A43" s="201">
        <v>44562</v>
      </c>
      <c r="B43" s="243">
        <v>4561074.91</v>
      </c>
      <c r="C43" s="184">
        <v>44586</v>
      </c>
      <c r="D43" s="185" t="s">
        <v>110</v>
      </c>
      <c r="E43" s="242">
        <f>105324.59+4310298.68</f>
        <v>4415623.2699999996</v>
      </c>
      <c r="F43" s="206"/>
      <c r="G43" s="33"/>
      <c r="H43" s="14"/>
    </row>
    <row r="44" spans="1:10" s="12" customFormat="1" ht="28.5" customHeight="1" thickBot="1" x14ac:dyDescent="0.3">
      <c r="A44" s="201"/>
      <c r="B44" s="243"/>
      <c r="C44" s="184">
        <v>44586</v>
      </c>
      <c r="D44" s="186" t="s">
        <v>115</v>
      </c>
      <c r="E44" s="242"/>
      <c r="F44" s="206"/>
      <c r="G44" s="13"/>
      <c r="H44" s="14"/>
    </row>
    <row r="45" spans="1:10" s="12" customFormat="1" ht="28.5" customHeight="1" thickBot="1" x14ac:dyDescent="0.35">
      <c r="A45" s="200">
        <v>44593</v>
      </c>
      <c r="B45" s="213">
        <v>4561074.91</v>
      </c>
      <c r="C45" s="187">
        <v>44595</v>
      </c>
      <c r="D45" s="185" t="s">
        <v>111</v>
      </c>
      <c r="E45" s="195">
        <f>6039926.12</f>
        <v>6039926.1200000001</v>
      </c>
      <c r="F45" s="196"/>
      <c r="G45" s="33"/>
      <c r="H45" s="14"/>
    </row>
    <row r="46" spans="1:10" s="12" customFormat="1" ht="28.5" customHeight="1" thickBot="1" x14ac:dyDescent="0.3">
      <c r="A46" s="201"/>
      <c r="B46" s="214"/>
      <c r="C46" s="187">
        <v>44595</v>
      </c>
      <c r="D46" s="186" t="s">
        <v>109</v>
      </c>
      <c r="E46" s="205"/>
      <c r="F46" s="206"/>
      <c r="G46" s="13"/>
      <c r="H46" s="14"/>
    </row>
    <row r="47" spans="1:10" s="12" customFormat="1" ht="28.5" customHeight="1" thickBot="1" x14ac:dyDescent="0.35">
      <c r="A47" s="201"/>
      <c r="B47" s="214"/>
      <c r="C47" s="187">
        <v>44616</v>
      </c>
      <c r="D47" s="186" t="s">
        <v>112</v>
      </c>
      <c r="E47" s="205"/>
      <c r="F47" s="206"/>
      <c r="G47" s="33"/>
      <c r="H47" s="14"/>
    </row>
    <row r="48" spans="1:10" s="12" customFormat="1" ht="28.5" customHeight="1" thickBot="1" x14ac:dyDescent="0.35">
      <c r="A48" s="201"/>
      <c r="B48" s="214"/>
      <c r="C48" s="187">
        <v>44616</v>
      </c>
      <c r="D48" s="186" t="s">
        <v>113</v>
      </c>
      <c r="E48" s="205"/>
      <c r="F48" s="206"/>
      <c r="G48" s="33"/>
      <c r="H48" s="14"/>
    </row>
    <row r="49" spans="1:8" s="12" customFormat="1" ht="28.5" customHeight="1" thickBot="1" x14ac:dyDescent="0.35">
      <c r="A49" s="212"/>
      <c r="B49" s="215"/>
      <c r="C49" s="187">
        <v>44617</v>
      </c>
      <c r="D49" s="186" t="s">
        <v>114</v>
      </c>
      <c r="E49" s="210"/>
      <c r="F49" s="211"/>
      <c r="G49" s="33"/>
      <c r="H49" s="14"/>
    </row>
    <row r="50" spans="1:8" s="12" customFormat="1" ht="33.75" customHeight="1" thickBot="1" x14ac:dyDescent="0.3">
      <c r="A50" s="197" t="s">
        <v>99</v>
      </c>
      <c r="B50" s="180">
        <v>19500</v>
      </c>
      <c r="C50" s="187">
        <v>44630</v>
      </c>
      <c r="D50" s="186" t="s">
        <v>172</v>
      </c>
      <c r="E50" s="195">
        <f>B50</f>
        <v>19500</v>
      </c>
      <c r="F50" s="196"/>
      <c r="G50" s="181"/>
      <c r="H50" s="64"/>
    </row>
    <row r="51" spans="1:8" s="12" customFormat="1" ht="28.5" customHeight="1" thickBot="1" x14ac:dyDescent="0.3">
      <c r="A51" s="198"/>
      <c r="B51" s="213">
        <v>4561074.91</v>
      </c>
      <c r="C51" s="187">
        <v>44649</v>
      </c>
      <c r="D51" s="185" t="s">
        <v>117</v>
      </c>
      <c r="E51" s="195">
        <v>4402933.45</v>
      </c>
      <c r="F51" s="196"/>
      <c r="G51" s="13"/>
      <c r="H51" s="14"/>
    </row>
    <row r="52" spans="1:8" s="12" customFormat="1" ht="28.5" customHeight="1" thickBot="1" x14ac:dyDescent="0.3">
      <c r="A52" s="199"/>
      <c r="B52" s="215"/>
      <c r="C52" s="187">
        <v>44649</v>
      </c>
      <c r="D52" s="185" t="s">
        <v>116</v>
      </c>
      <c r="E52" s="210"/>
      <c r="F52" s="211"/>
      <c r="G52" s="13"/>
      <c r="H52" s="14"/>
    </row>
    <row r="53" spans="1:8" s="12" customFormat="1" ht="28.5" customHeight="1" thickBot="1" x14ac:dyDescent="0.35">
      <c r="A53" s="201">
        <v>44652</v>
      </c>
      <c r="B53" s="243">
        <v>4690556.47</v>
      </c>
      <c r="C53" s="184">
        <v>44652</v>
      </c>
      <c r="D53" s="185" t="s">
        <v>118</v>
      </c>
      <c r="E53" s="195">
        <f>4439780.24+487775.51+765757.35+706329.92</f>
        <v>6399643.0199999996</v>
      </c>
      <c r="F53" s="196"/>
      <c r="G53" s="33"/>
      <c r="H53" s="14"/>
    </row>
    <row r="54" spans="1:8" s="12" customFormat="1" ht="28.5" customHeight="1" thickBot="1" x14ac:dyDescent="0.3">
      <c r="A54" s="201"/>
      <c r="B54" s="243"/>
      <c r="C54" s="184">
        <v>44677</v>
      </c>
      <c r="D54" s="185" t="s">
        <v>120</v>
      </c>
      <c r="E54" s="205"/>
      <c r="F54" s="206"/>
      <c r="G54" s="13"/>
      <c r="H54" s="14"/>
    </row>
    <row r="55" spans="1:8" s="12" customFormat="1" ht="28.5" customHeight="1" thickBot="1" x14ac:dyDescent="0.3">
      <c r="A55" s="201"/>
      <c r="B55" s="243"/>
      <c r="C55" s="184">
        <v>44677</v>
      </c>
      <c r="D55" s="185" t="s">
        <v>119</v>
      </c>
      <c r="E55" s="205"/>
      <c r="F55" s="206"/>
      <c r="G55" s="13"/>
      <c r="H55" s="14"/>
    </row>
    <row r="56" spans="1:8" s="12" customFormat="1" ht="28.5" customHeight="1" thickBot="1" x14ac:dyDescent="0.3">
      <c r="A56" s="201"/>
      <c r="B56" s="243"/>
      <c r="C56" s="184">
        <v>44678</v>
      </c>
      <c r="D56" s="185" t="s">
        <v>121</v>
      </c>
      <c r="E56" s="210"/>
      <c r="F56" s="211"/>
      <c r="G56" s="13"/>
      <c r="H56" s="14"/>
    </row>
    <row r="57" spans="1:8" s="12" customFormat="1" ht="27.75" thickBot="1" x14ac:dyDescent="0.3">
      <c r="A57" s="197" t="s">
        <v>103</v>
      </c>
      <c r="B57" s="180">
        <v>9000</v>
      </c>
      <c r="C57" s="182">
        <v>44705</v>
      </c>
      <c r="D57" s="114" t="s">
        <v>179</v>
      </c>
      <c r="E57" s="195">
        <f>B57</f>
        <v>9000</v>
      </c>
      <c r="F57" s="196"/>
      <c r="G57" s="181"/>
      <c r="H57" s="64"/>
    </row>
    <row r="58" spans="1:8" s="12" customFormat="1" ht="28.5" customHeight="1" thickBot="1" x14ac:dyDescent="0.35">
      <c r="A58" s="198"/>
      <c r="B58" s="207">
        <v>4690556.47</v>
      </c>
      <c r="C58" s="184">
        <v>44707</v>
      </c>
      <c r="D58" s="185" t="s">
        <v>122</v>
      </c>
      <c r="E58" s="195">
        <v>5582032.4300000006</v>
      </c>
      <c r="F58" s="196"/>
      <c r="G58" s="33"/>
      <c r="H58" s="14"/>
    </row>
    <row r="59" spans="1:8" s="12" customFormat="1" ht="28.5" customHeight="1" thickBot="1" x14ac:dyDescent="0.35">
      <c r="A59" s="198"/>
      <c r="B59" s="208"/>
      <c r="C59" s="184">
        <v>44707</v>
      </c>
      <c r="D59" s="185" t="s">
        <v>123</v>
      </c>
      <c r="E59" s="205"/>
      <c r="F59" s="206"/>
      <c r="G59" s="33"/>
      <c r="H59" s="14"/>
    </row>
    <row r="60" spans="1:8" s="12" customFormat="1" ht="28.5" customHeight="1" thickBot="1" x14ac:dyDescent="0.3">
      <c r="A60" s="199"/>
      <c r="B60" s="209"/>
      <c r="C60" s="184">
        <v>44707</v>
      </c>
      <c r="D60" s="185" t="s">
        <v>139</v>
      </c>
      <c r="E60" s="210"/>
      <c r="F60" s="211"/>
      <c r="G60" s="13"/>
      <c r="H60" s="14"/>
    </row>
    <row r="61" spans="1:8" s="12" customFormat="1" ht="28.5" customHeight="1" thickBot="1" x14ac:dyDescent="0.35">
      <c r="A61" s="200">
        <v>44713</v>
      </c>
      <c r="B61" s="207">
        <f>4690556.46833333+2990.82</f>
        <v>4693547.2883333303</v>
      </c>
      <c r="C61" s="184">
        <v>44713</v>
      </c>
      <c r="D61" s="185" t="s">
        <v>142</v>
      </c>
      <c r="E61" s="195">
        <f>6075894.81</f>
        <v>6075894.8099999996</v>
      </c>
      <c r="F61" s="196"/>
      <c r="G61" s="33"/>
      <c r="H61" s="14"/>
    </row>
    <row r="62" spans="1:8" s="12" customFormat="1" ht="28.5" customHeight="1" thickBot="1" x14ac:dyDescent="0.3">
      <c r="A62" s="201"/>
      <c r="B62" s="208"/>
      <c r="C62" s="184">
        <v>44714</v>
      </c>
      <c r="D62" s="185" t="s">
        <v>143</v>
      </c>
      <c r="E62" s="205"/>
      <c r="F62" s="206"/>
      <c r="G62" s="13"/>
      <c r="H62" s="14"/>
    </row>
    <row r="63" spans="1:8" s="12" customFormat="1" ht="28.5" customHeight="1" thickBot="1" x14ac:dyDescent="0.35">
      <c r="A63" s="201"/>
      <c r="B63" s="208"/>
      <c r="C63" s="184">
        <v>44739</v>
      </c>
      <c r="D63" s="185" t="s">
        <v>144</v>
      </c>
      <c r="E63" s="205"/>
      <c r="F63" s="206"/>
      <c r="G63" s="33"/>
      <c r="H63" s="14"/>
    </row>
    <row r="64" spans="1:8" s="12" customFormat="1" ht="28.5" customHeight="1" thickBot="1" x14ac:dyDescent="0.35">
      <c r="A64" s="201"/>
      <c r="B64" s="208"/>
      <c r="C64" s="184">
        <v>44740</v>
      </c>
      <c r="D64" s="185" t="s">
        <v>145</v>
      </c>
      <c r="E64" s="205"/>
      <c r="F64" s="206"/>
      <c r="G64" s="33"/>
      <c r="H64" s="14"/>
    </row>
    <row r="65" spans="1:9" s="12" customFormat="1" ht="28.5" customHeight="1" thickBot="1" x14ac:dyDescent="0.3">
      <c r="A65" s="212"/>
      <c r="B65" s="209"/>
      <c r="C65" s="184">
        <v>44740</v>
      </c>
      <c r="D65" s="185" t="s">
        <v>146</v>
      </c>
      <c r="E65" s="210"/>
      <c r="F65" s="211"/>
      <c r="G65" s="13"/>
      <c r="H65" s="14"/>
    </row>
    <row r="66" spans="1:9" s="12" customFormat="1" ht="28.5" customHeight="1" thickBot="1" x14ac:dyDescent="0.35">
      <c r="A66" s="200">
        <v>44743</v>
      </c>
      <c r="B66" s="207">
        <v>4750956.47</v>
      </c>
      <c r="C66" s="184">
        <v>44762</v>
      </c>
      <c r="D66" s="185" t="s">
        <v>152</v>
      </c>
      <c r="E66" s="195">
        <v>5794927.5999999996</v>
      </c>
      <c r="F66" s="196"/>
      <c r="G66" s="33"/>
      <c r="H66" s="14"/>
    </row>
    <row r="67" spans="1:9" s="12" customFormat="1" ht="28.5" customHeight="1" thickBot="1" x14ac:dyDescent="0.3">
      <c r="A67" s="201"/>
      <c r="B67" s="208"/>
      <c r="C67" s="184">
        <v>44762</v>
      </c>
      <c r="D67" s="185" t="s">
        <v>153</v>
      </c>
      <c r="E67" s="205"/>
      <c r="F67" s="206"/>
      <c r="G67" s="13"/>
      <c r="H67" s="14"/>
    </row>
    <row r="68" spans="1:9" s="12" customFormat="1" ht="28.5" customHeight="1" thickBot="1" x14ac:dyDescent="0.35">
      <c r="A68" s="201"/>
      <c r="B68" s="208"/>
      <c r="C68" s="184">
        <v>44768</v>
      </c>
      <c r="D68" s="185" t="s">
        <v>154</v>
      </c>
      <c r="E68" s="205"/>
      <c r="F68" s="206"/>
      <c r="G68" s="33"/>
      <c r="H68" s="14"/>
    </row>
    <row r="69" spans="1:9" s="12" customFormat="1" ht="28.5" customHeight="1" thickBot="1" x14ac:dyDescent="0.35">
      <c r="A69" s="201"/>
      <c r="B69" s="208"/>
      <c r="C69" s="184">
        <v>44770</v>
      </c>
      <c r="D69" s="185" t="s">
        <v>155</v>
      </c>
      <c r="E69" s="205"/>
      <c r="F69" s="206"/>
      <c r="G69" s="33"/>
      <c r="H69" s="14"/>
    </row>
    <row r="70" spans="1:9" s="12" customFormat="1" ht="28.5" customHeight="1" thickBot="1" x14ac:dyDescent="0.35">
      <c r="A70" s="212"/>
      <c r="B70" s="209"/>
      <c r="C70" s="184">
        <v>44770</v>
      </c>
      <c r="D70" s="185" t="s">
        <v>156</v>
      </c>
      <c r="E70" s="210"/>
      <c r="F70" s="211"/>
      <c r="G70" s="33"/>
      <c r="H70" s="14"/>
    </row>
    <row r="71" spans="1:9" s="12" customFormat="1" ht="28.5" customHeight="1" thickBot="1" x14ac:dyDescent="0.35">
      <c r="A71" s="200">
        <v>44774</v>
      </c>
      <c r="B71" s="207">
        <f>4561074.91+129481.56</f>
        <v>4690556.47</v>
      </c>
      <c r="C71" s="184">
        <v>44799</v>
      </c>
      <c r="D71" s="185" t="s">
        <v>213</v>
      </c>
      <c r="E71" s="195">
        <f>4439780.24+771968.21</f>
        <v>5211748.45</v>
      </c>
      <c r="F71" s="196"/>
      <c r="G71" s="33"/>
      <c r="H71" s="14"/>
    </row>
    <row r="72" spans="1:9" s="12" customFormat="1" ht="28.5" customHeight="1" thickBot="1" x14ac:dyDescent="0.3">
      <c r="A72" s="201"/>
      <c r="B72" s="208"/>
      <c r="C72" s="184">
        <v>44799</v>
      </c>
      <c r="D72" s="185" t="s">
        <v>214</v>
      </c>
      <c r="E72" s="205"/>
      <c r="F72" s="206"/>
      <c r="G72" s="13"/>
      <c r="H72" s="14"/>
    </row>
    <row r="73" spans="1:9" s="12" customFormat="1" ht="26.25" thickBot="1" x14ac:dyDescent="0.3">
      <c r="A73" s="200">
        <v>44805</v>
      </c>
      <c r="B73" s="213">
        <v>4943522.04</v>
      </c>
      <c r="C73" s="184">
        <v>44805</v>
      </c>
      <c r="D73" s="185" t="s">
        <v>124</v>
      </c>
      <c r="E73" s="195">
        <f>46718.39+240832.2+136953.4+159512.4+70513.57+4554542.03+433093.7+779829.94+19199.14+123738.4+109609.12+120474.1+15959.25+257977.45</f>
        <v>7068953.0900000008</v>
      </c>
      <c r="F73" s="196"/>
      <c r="G73" s="13"/>
      <c r="H73" s="14"/>
    </row>
    <row r="74" spans="1:9" s="12" customFormat="1" ht="28.5" customHeight="1" thickBot="1" x14ac:dyDescent="0.35">
      <c r="A74" s="201"/>
      <c r="B74" s="214"/>
      <c r="C74" s="184">
        <v>44809</v>
      </c>
      <c r="D74" s="185" t="s">
        <v>125</v>
      </c>
      <c r="E74" s="205"/>
      <c r="F74" s="206"/>
      <c r="G74" s="33"/>
      <c r="H74" s="14"/>
    </row>
    <row r="75" spans="1:9" s="12" customFormat="1" ht="28.5" customHeight="1" thickBot="1" x14ac:dyDescent="0.3">
      <c r="A75" s="201"/>
      <c r="B75" s="214"/>
      <c r="C75" s="184">
        <v>44823</v>
      </c>
      <c r="D75" s="185" t="s">
        <v>126</v>
      </c>
      <c r="E75" s="205"/>
      <c r="F75" s="206"/>
      <c r="G75" s="13"/>
      <c r="H75" s="14"/>
    </row>
    <row r="76" spans="1:9" s="12" customFormat="1" ht="28.5" customHeight="1" thickBot="1" x14ac:dyDescent="0.35">
      <c r="A76" s="201"/>
      <c r="B76" s="214"/>
      <c r="C76" s="184">
        <v>44823</v>
      </c>
      <c r="D76" s="185" t="s">
        <v>127</v>
      </c>
      <c r="E76" s="205"/>
      <c r="F76" s="206"/>
      <c r="G76" s="33"/>
      <c r="H76" s="14"/>
    </row>
    <row r="77" spans="1:9" s="12" customFormat="1" ht="28.5" customHeight="1" thickBot="1" x14ac:dyDescent="0.35">
      <c r="A77" s="201"/>
      <c r="B77" s="214"/>
      <c r="C77" s="184">
        <v>44823</v>
      </c>
      <c r="D77" s="188" t="s">
        <v>128</v>
      </c>
      <c r="E77" s="205"/>
      <c r="F77" s="206"/>
      <c r="G77" s="33"/>
      <c r="H77" s="14"/>
    </row>
    <row r="78" spans="1:9" s="12" customFormat="1" ht="28.5" customHeight="1" thickBot="1" x14ac:dyDescent="0.35">
      <c r="A78" s="201"/>
      <c r="B78" s="214"/>
      <c r="C78" s="184">
        <v>44823</v>
      </c>
      <c r="D78" s="188" t="s">
        <v>129</v>
      </c>
      <c r="E78" s="205"/>
      <c r="F78" s="206"/>
      <c r="G78" s="33"/>
      <c r="H78" s="14"/>
    </row>
    <row r="79" spans="1:9" s="12" customFormat="1" ht="28.5" customHeight="1" thickBot="1" x14ac:dyDescent="0.35">
      <c r="A79" s="201"/>
      <c r="B79" s="214"/>
      <c r="C79" s="184">
        <v>44830</v>
      </c>
      <c r="D79" s="185" t="s">
        <v>130</v>
      </c>
      <c r="E79" s="205"/>
      <c r="F79" s="206"/>
      <c r="G79" s="33"/>
      <c r="H79" s="14"/>
    </row>
    <row r="80" spans="1:9" s="12" customFormat="1" ht="28.5" customHeight="1" thickBot="1" x14ac:dyDescent="0.35">
      <c r="A80" s="201"/>
      <c r="B80" s="214"/>
      <c r="C80" s="184">
        <v>44831</v>
      </c>
      <c r="D80" s="185" t="s">
        <v>131</v>
      </c>
      <c r="E80" s="205"/>
      <c r="F80" s="206"/>
      <c r="G80" s="33"/>
      <c r="H80" s="14"/>
      <c r="I80" s="34"/>
    </row>
    <row r="81" spans="1:8" s="12" customFormat="1" ht="28.5" customHeight="1" thickBot="1" x14ac:dyDescent="0.35">
      <c r="A81" s="201"/>
      <c r="B81" s="214"/>
      <c r="C81" s="184">
        <v>44831</v>
      </c>
      <c r="D81" s="185" t="s">
        <v>132</v>
      </c>
      <c r="E81" s="205"/>
      <c r="F81" s="206"/>
      <c r="G81" s="33"/>
      <c r="H81" s="14"/>
    </row>
    <row r="82" spans="1:8" s="12" customFormat="1" ht="28.5" customHeight="1" thickBot="1" x14ac:dyDescent="0.35">
      <c r="A82" s="201"/>
      <c r="B82" s="214"/>
      <c r="C82" s="184">
        <v>44832</v>
      </c>
      <c r="D82" s="188" t="s">
        <v>133</v>
      </c>
      <c r="E82" s="205"/>
      <c r="F82" s="206"/>
      <c r="G82" s="33"/>
      <c r="H82" s="14"/>
    </row>
    <row r="83" spans="1:8" s="12" customFormat="1" ht="28.5" customHeight="1" thickBot="1" x14ac:dyDescent="0.35">
      <c r="A83" s="201"/>
      <c r="B83" s="214"/>
      <c r="C83" s="184">
        <v>44832</v>
      </c>
      <c r="D83" s="188" t="s">
        <v>134</v>
      </c>
      <c r="E83" s="205"/>
      <c r="F83" s="206"/>
      <c r="G83" s="33"/>
      <c r="H83" s="14"/>
    </row>
    <row r="84" spans="1:8" s="12" customFormat="1" ht="28.5" customHeight="1" thickBot="1" x14ac:dyDescent="0.35">
      <c r="A84" s="201"/>
      <c r="B84" s="214"/>
      <c r="C84" s="184">
        <v>44833</v>
      </c>
      <c r="D84" s="185" t="s">
        <v>135</v>
      </c>
      <c r="E84" s="205"/>
      <c r="F84" s="206"/>
      <c r="G84" s="33"/>
      <c r="H84" s="14"/>
    </row>
    <row r="85" spans="1:8" s="12" customFormat="1" ht="28.5" customHeight="1" thickBot="1" x14ac:dyDescent="0.35">
      <c r="A85" s="201"/>
      <c r="B85" s="214"/>
      <c r="C85" s="184">
        <v>44833</v>
      </c>
      <c r="D85" s="185" t="s">
        <v>136</v>
      </c>
      <c r="E85" s="205"/>
      <c r="F85" s="206"/>
      <c r="G85" s="33"/>
      <c r="H85" s="14"/>
    </row>
    <row r="86" spans="1:8" s="12" customFormat="1" ht="28.5" customHeight="1" thickBot="1" x14ac:dyDescent="0.35">
      <c r="A86" s="212"/>
      <c r="B86" s="215"/>
      <c r="C86" s="184">
        <v>44833</v>
      </c>
      <c r="D86" s="185" t="s">
        <v>137</v>
      </c>
      <c r="E86" s="210"/>
      <c r="F86" s="211"/>
      <c r="G86" s="33"/>
      <c r="H86" s="14"/>
    </row>
    <row r="87" spans="1:8" s="12" customFormat="1" ht="28.5" customHeight="1" thickBot="1" x14ac:dyDescent="0.35">
      <c r="A87" s="200">
        <v>44835</v>
      </c>
      <c r="B87" s="196">
        <v>4706921.55</v>
      </c>
      <c r="C87" s="184">
        <v>44845</v>
      </c>
      <c r="D87" s="185" t="s">
        <v>161</v>
      </c>
      <c r="E87" s="195">
        <f>152379.52+673490.47+4554542.03+751068.36</f>
        <v>6131480.3800000008</v>
      </c>
      <c r="F87" s="196"/>
      <c r="G87" s="33"/>
      <c r="H87" s="14"/>
    </row>
    <row r="88" spans="1:8" s="12" customFormat="1" ht="28.5" customHeight="1" thickBot="1" x14ac:dyDescent="0.3">
      <c r="A88" s="201"/>
      <c r="B88" s="206"/>
      <c r="C88" s="184">
        <v>44860</v>
      </c>
      <c r="D88" s="185" t="s">
        <v>162</v>
      </c>
      <c r="E88" s="205"/>
      <c r="F88" s="206"/>
      <c r="G88" s="13"/>
      <c r="H88" s="14"/>
    </row>
    <row r="89" spans="1:8" s="12" customFormat="1" ht="28.5" customHeight="1" thickBot="1" x14ac:dyDescent="0.35">
      <c r="A89" s="201"/>
      <c r="B89" s="206"/>
      <c r="C89" s="184">
        <v>44860</v>
      </c>
      <c r="D89" s="185" t="s">
        <v>163</v>
      </c>
      <c r="E89" s="205"/>
      <c r="F89" s="206"/>
      <c r="G89" s="33"/>
      <c r="H89" s="14"/>
    </row>
    <row r="90" spans="1:8" s="12" customFormat="1" ht="28.5" customHeight="1" thickBot="1" x14ac:dyDescent="0.35">
      <c r="A90" s="201"/>
      <c r="B90" s="206"/>
      <c r="C90" s="184">
        <v>44861</v>
      </c>
      <c r="D90" s="188" t="s">
        <v>164</v>
      </c>
      <c r="E90" s="205"/>
      <c r="F90" s="206"/>
      <c r="G90" s="33"/>
      <c r="H90" s="14"/>
    </row>
    <row r="91" spans="1:8" s="12" customFormat="1" ht="28.5" customHeight="1" thickBot="1" x14ac:dyDescent="0.35">
      <c r="A91" s="200">
        <v>44866</v>
      </c>
      <c r="B91" s="196">
        <v>5209581.1500000004</v>
      </c>
      <c r="C91" s="184">
        <v>44874</v>
      </c>
      <c r="D91" s="185" t="s">
        <v>166</v>
      </c>
      <c r="E91" s="195">
        <f>655039.12+4554542.03</f>
        <v>5209581.1500000004</v>
      </c>
      <c r="F91" s="196"/>
      <c r="G91" s="33"/>
      <c r="H91" s="14"/>
    </row>
    <row r="92" spans="1:8" s="12" customFormat="1" ht="28.5" customHeight="1" thickBot="1" x14ac:dyDescent="0.3">
      <c r="A92" s="201"/>
      <c r="B92" s="206"/>
      <c r="C92" s="184">
        <v>44893</v>
      </c>
      <c r="D92" s="185" t="s">
        <v>167</v>
      </c>
      <c r="E92" s="205"/>
      <c r="F92" s="206"/>
      <c r="G92" s="13"/>
      <c r="H92" s="14"/>
    </row>
    <row r="93" spans="1:8" s="12" customFormat="1" ht="28.5" customHeight="1" thickBot="1" x14ac:dyDescent="0.35">
      <c r="A93" s="200">
        <v>44896</v>
      </c>
      <c r="B93" s="202">
        <v>5725183.6100000003</v>
      </c>
      <c r="C93" s="187">
        <v>44897</v>
      </c>
      <c r="D93" s="185" t="s">
        <v>228</v>
      </c>
      <c r="E93" s="195">
        <v>8052794.1100000003</v>
      </c>
      <c r="F93" s="196"/>
      <c r="G93" s="11"/>
      <c r="H93" s="35"/>
    </row>
    <row r="94" spans="1:8" s="12" customFormat="1" ht="28.5" customHeight="1" thickBot="1" x14ac:dyDescent="0.35">
      <c r="A94" s="201"/>
      <c r="B94" s="203"/>
      <c r="C94" s="187">
        <v>44897</v>
      </c>
      <c r="D94" s="185" t="s">
        <v>229</v>
      </c>
      <c r="E94" s="205"/>
      <c r="F94" s="206"/>
      <c r="G94" s="11"/>
      <c r="H94" s="35"/>
    </row>
    <row r="95" spans="1:8" s="12" customFormat="1" ht="28.5" customHeight="1" thickBot="1" x14ac:dyDescent="0.35">
      <c r="A95" s="201"/>
      <c r="B95" s="203"/>
      <c r="C95" s="187">
        <v>44901</v>
      </c>
      <c r="D95" s="185" t="s">
        <v>230</v>
      </c>
      <c r="E95" s="205"/>
      <c r="F95" s="206"/>
      <c r="G95" s="11"/>
      <c r="H95" s="35"/>
    </row>
    <row r="96" spans="1:8" s="12" customFormat="1" ht="28.5" customHeight="1" thickBot="1" x14ac:dyDescent="0.35">
      <c r="A96" s="201"/>
      <c r="B96" s="203"/>
      <c r="C96" s="187">
        <v>44916</v>
      </c>
      <c r="D96" s="185" t="s">
        <v>231</v>
      </c>
      <c r="E96" s="205"/>
      <c r="F96" s="206"/>
      <c r="G96" s="11"/>
      <c r="H96" s="35"/>
    </row>
    <row r="97" spans="1:9" s="12" customFormat="1" ht="28.5" customHeight="1" thickBot="1" x14ac:dyDescent="0.35">
      <c r="A97" s="201"/>
      <c r="B97" s="203"/>
      <c r="C97" s="187">
        <v>44916</v>
      </c>
      <c r="D97" s="185" t="s">
        <v>232</v>
      </c>
      <c r="E97" s="205"/>
      <c r="F97" s="206"/>
      <c r="G97" s="11"/>
      <c r="H97" s="35"/>
      <c r="I97" s="34"/>
    </row>
    <row r="98" spans="1:9" s="12" customFormat="1" ht="28.5" customHeight="1" thickBot="1" x14ac:dyDescent="0.35">
      <c r="A98" s="201"/>
      <c r="B98" s="204"/>
      <c r="C98" s="187">
        <v>44918</v>
      </c>
      <c r="D98" s="185" t="s">
        <v>233</v>
      </c>
      <c r="E98" s="205"/>
      <c r="F98" s="206"/>
      <c r="G98" s="11"/>
      <c r="H98" s="35"/>
    </row>
    <row r="99" spans="1:9" s="12" customFormat="1" ht="38.1" customHeight="1" thickBot="1" x14ac:dyDescent="0.3">
      <c r="A99" s="234" t="s">
        <v>237</v>
      </c>
      <c r="B99" s="234"/>
      <c r="C99" s="234"/>
      <c r="D99" s="234"/>
      <c r="E99" s="229">
        <f>3320350.95+408831.6</f>
        <v>3729182.5500000003</v>
      </c>
      <c r="F99" s="230"/>
      <c r="G99" s="13"/>
      <c r="H99" s="14"/>
    </row>
    <row r="100" spans="1:9" s="12" customFormat="1" ht="37.5" customHeight="1" thickBot="1" x14ac:dyDescent="0.3">
      <c r="A100" s="234" t="s">
        <v>238</v>
      </c>
      <c r="B100" s="234"/>
      <c r="C100" s="234"/>
      <c r="D100" s="234"/>
      <c r="E100" s="235">
        <f>SUM(E43:F98)</f>
        <v>70414037.88000001</v>
      </c>
      <c r="F100" s="235"/>
      <c r="G100" s="13"/>
      <c r="H100" s="14"/>
    </row>
    <row r="101" spans="1:9" s="12" customFormat="1" ht="37.5" customHeight="1" thickBot="1" x14ac:dyDescent="0.3">
      <c r="A101" s="226" t="s">
        <v>13</v>
      </c>
      <c r="B101" s="227"/>
      <c r="C101" s="227"/>
      <c r="D101" s="228"/>
      <c r="E101" s="235">
        <f>14764.45+14315.49+13868.75+19167.61+23100.93+19734.77+22576.89+22676.77+25709.79+24242.21+20156.15+42282.85+9759.12</f>
        <v>272355.77999999997</v>
      </c>
      <c r="F101" s="235"/>
      <c r="G101" s="13"/>
      <c r="H101" s="14"/>
    </row>
    <row r="102" spans="1:9" s="12" customFormat="1" ht="38.1" customHeight="1" thickBot="1" x14ac:dyDescent="0.3">
      <c r="A102" s="234" t="s">
        <v>14</v>
      </c>
      <c r="B102" s="234"/>
      <c r="C102" s="234"/>
      <c r="D102" s="234"/>
      <c r="E102" s="235">
        <v>0</v>
      </c>
      <c r="F102" s="235"/>
      <c r="G102" s="13"/>
      <c r="H102" s="14"/>
    </row>
    <row r="103" spans="1:9" s="12" customFormat="1" ht="38.1" customHeight="1" thickBot="1" x14ac:dyDescent="0.3">
      <c r="A103" s="234" t="s">
        <v>15</v>
      </c>
      <c r="B103" s="234"/>
      <c r="C103" s="234"/>
      <c r="D103" s="234"/>
      <c r="E103" s="238">
        <f>E99+E100+E101+E102</f>
        <v>74415576.210000008</v>
      </c>
      <c r="F103" s="238"/>
      <c r="G103" s="13"/>
      <c r="H103" s="14"/>
    </row>
    <row r="104" spans="1:9" s="12" customFormat="1" ht="38.1" customHeight="1" thickBot="1" x14ac:dyDescent="0.3">
      <c r="A104" s="239"/>
      <c r="B104" s="239"/>
      <c r="C104" s="239"/>
      <c r="D104" s="239"/>
      <c r="E104" s="239"/>
      <c r="F104" s="239"/>
      <c r="G104" s="13"/>
      <c r="H104" s="14"/>
    </row>
    <row r="105" spans="1:9" s="12" customFormat="1" ht="38.1" customHeight="1" thickBot="1" x14ac:dyDescent="0.3">
      <c r="A105" s="234" t="s">
        <v>16</v>
      </c>
      <c r="B105" s="234"/>
      <c r="C105" s="234"/>
      <c r="D105" s="234"/>
      <c r="E105" s="235">
        <v>0</v>
      </c>
      <c r="F105" s="235"/>
      <c r="G105" s="13"/>
      <c r="H105" s="14"/>
    </row>
    <row r="106" spans="1:9" s="12" customFormat="1" ht="38.1" customHeight="1" thickBot="1" x14ac:dyDescent="0.3">
      <c r="A106" s="234" t="s">
        <v>17</v>
      </c>
      <c r="B106" s="234"/>
      <c r="C106" s="234"/>
      <c r="D106" s="234"/>
      <c r="E106" s="240">
        <f>E103+E105</f>
        <v>74415576.210000008</v>
      </c>
      <c r="F106" s="240"/>
      <c r="G106" s="13"/>
      <c r="H106" s="14"/>
    </row>
    <row r="107" spans="1:9" ht="30" customHeight="1" x14ac:dyDescent="0.25">
      <c r="A107" s="36" t="s">
        <v>18</v>
      </c>
      <c r="B107" s="37"/>
      <c r="C107" s="37"/>
      <c r="D107" s="37"/>
      <c r="E107" s="38"/>
    </row>
    <row r="108" spans="1:9" ht="30" customHeight="1" x14ac:dyDescent="0.25">
      <c r="A108" s="36" t="s">
        <v>19</v>
      </c>
      <c r="B108" s="37"/>
      <c r="C108" s="37"/>
      <c r="D108" s="39"/>
    </row>
    <row r="109" spans="1:9" ht="30" customHeight="1" x14ac:dyDescent="0.25">
      <c r="A109" s="217" t="s">
        <v>239</v>
      </c>
      <c r="B109" s="217"/>
      <c r="C109" s="217"/>
      <c r="D109" s="39"/>
    </row>
    <row r="110" spans="1:9" ht="30" customHeight="1" x14ac:dyDescent="0.25">
      <c r="A110" s="40"/>
      <c r="B110" s="39"/>
      <c r="C110" s="39"/>
      <c r="D110" s="39"/>
      <c r="F110" s="12"/>
    </row>
    <row r="111" spans="1:9" ht="30" customHeight="1" x14ac:dyDescent="0.25">
      <c r="A111" s="41"/>
      <c r="B111" s="41"/>
      <c r="C111" s="41"/>
      <c r="D111" s="41"/>
      <c r="E111" s="41"/>
      <c r="F111" s="41"/>
    </row>
    <row r="112" spans="1:9" ht="30" customHeight="1" x14ac:dyDescent="0.25">
      <c r="A112" s="41"/>
      <c r="B112" s="41"/>
      <c r="C112" s="41"/>
      <c r="D112" s="41"/>
      <c r="E112" s="41"/>
      <c r="F112" s="41"/>
    </row>
    <row r="113" spans="1:8" ht="30" customHeight="1" x14ac:dyDescent="0.25">
      <c r="A113" s="41"/>
      <c r="B113" s="41"/>
      <c r="C113" s="41"/>
      <c r="D113" s="41"/>
      <c r="E113" s="41"/>
      <c r="F113" s="41"/>
    </row>
    <row r="114" spans="1:8" ht="30" customHeight="1" x14ac:dyDescent="0.25">
      <c r="A114" s="41"/>
      <c r="B114" s="41"/>
      <c r="C114" s="41"/>
      <c r="D114" s="41"/>
      <c r="E114" s="41"/>
      <c r="F114" s="41"/>
    </row>
    <row r="115" spans="1:8" ht="30" customHeight="1" x14ac:dyDescent="0.25">
      <c r="A115" s="41"/>
      <c r="B115" s="41"/>
      <c r="C115" s="41"/>
      <c r="D115" s="41"/>
      <c r="E115" s="41"/>
      <c r="F115" s="41"/>
    </row>
    <row r="116" spans="1:8" ht="30" customHeight="1" x14ac:dyDescent="0.25">
      <c r="A116" s="41"/>
      <c r="B116" s="41"/>
      <c r="C116" s="41"/>
      <c r="D116" s="41"/>
      <c r="E116" s="41"/>
      <c r="F116" s="41"/>
    </row>
    <row r="117" spans="1:8" ht="30" customHeight="1" x14ac:dyDescent="0.25">
      <c r="A117" s="218" t="s">
        <v>240</v>
      </c>
      <c r="B117" s="218"/>
      <c r="C117" s="218"/>
      <c r="D117" s="218"/>
      <c r="E117" s="218"/>
      <c r="F117" s="218"/>
    </row>
    <row r="118" spans="1:8" ht="30" customHeight="1" x14ac:dyDescent="0.25">
      <c r="A118" s="218"/>
      <c r="B118" s="218"/>
      <c r="C118" s="218"/>
      <c r="D118" s="218"/>
      <c r="E118" s="218"/>
      <c r="F118" s="218"/>
    </row>
    <row r="119" spans="1:8" ht="30" customHeight="1" x14ac:dyDescent="0.25">
      <c r="A119" s="41"/>
      <c r="B119" s="41"/>
      <c r="C119" s="41"/>
      <c r="D119" s="41"/>
      <c r="E119" s="41"/>
      <c r="F119" s="41"/>
    </row>
    <row r="120" spans="1:8" ht="30" customHeight="1" x14ac:dyDescent="0.25">
      <c r="A120" s="41"/>
      <c r="B120" s="41"/>
      <c r="C120" s="41"/>
      <c r="D120" s="41"/>
      <c r="E120" s="41"/>
      <c r="F120" s="41"/>
    </row>
    <row r="121" spans="1:8" ht="31.5" customHeight="1" x14ac:dyDescent="0.25">
      <c r="A121" s="41"/>
      <c r="B121" s="41"/>
      <c r="C121" s="41"/>
      <c r="D121" s="41"/>
      <c r="E121" s="41"/>
      <c r="F121" s="41"/>
    </row>
    <row r="122" spans="1:8" ht="30" customHeight="1" thickBot="1" x14ac:dyDescent="0.3">
      <c r="A122" s="41"/>
      <c r="B122" s="41"/>
      <c r="C122" s="41"/>
      <c r="D122" s="41"/>
      <c r="E122" s="41"/>
      <c r="F122" s="41"/>
    </row>
    <row r="123" spans="1:8" s="12" customFormat="1" ht="37.5" customHeight="1" thickBot="1" x14ac:dyDescent="0.3">
      <c r="A123" s="219" t="s">
        <v>20</v>
      </c>
      <c r="B123" s="220"/>
      <c r="C123" s="220"/>
      <c r="D123" s="220"/>
      <c r="E123" s="220"/>
      <c r="F123" s="221"/>
      <c r="G123" s="13"/>
      <c r="H123" s="14"/>
    </row>
    <row r="124" spans="1:8" s="12" customFormat="1" ht="37.5" customHeight="1" thickBot="1" x14ac:dyDescent="0.3">
      <c r="A124" s="42" t="s">
        <v>250</v>
      </c>
      <c r="B124" s="43"/>
      <c r="C124" s="43"/>
      <c r="D124" s="43"/>
      <c r="E124" s="43"/>
      <c r="F124" s="3"/>
      <c r="G124" s="13"/>
      <c r="H124" s="14"/>
    </row>
    <row r="125" spans="1:8" s="12" customFormat="1" ht="33" customHeight="1" x14ac:dyDescent="0.25">
      <c r="A125" s="44"/>
      <c r="B125" s="45"/>
      <c r="C125" s="46" t="s">
        <v>21</v>
      </c>
      <c r="D125" s="46" t="s">
        <v>21</v>
      </c>
      <c r="E125" s="46" t="s">
        <v>22</v>
      </c>
      <c r="F125" s="46" t="s">
        <v>21</v>
      </c>
      <c r="G125" s="13"/>
      <c r="H125" s="14"/>
    </row>
    <row r="126" spans="1:8" s="12" customFormat="1" ht="33" customHeight="1" x14ac:dyDescent="0.25">
      <c r="A126" s="46" t="s">
        <v>23</v>
      </c>
      <c r="B126" s="47" t="s">
        <v>21</v>
      </c>
      <c r="C126" s="46" t="s">
        <v>24</v>
      </c>
      <c r="D126" s="46" t="s">
        <v>24</v>
      </c>
      <c r="E126" s="46" t="s">
        <v>21</v>
      </c>
      <c r="F126" s="46" t="s">
        <v>24</v>
      </c>
      <c r="G126" s="13"/>
      <c r="H126" s="14"/>
    </row>
    <row r="127" spans="1:8" s="12" customFormat="1" ht="33" customHeight="1" x14ac:dyDescent="0.25">
      <c r="A127" s="46" t="s">
        <v>25</v>
      </c>
      <c r="B127" s="47" t="s">
        <v>24</v>
      </c>
      <c r="C127" s="46" t="s">
        <v>26</v>
      </c>
      <c r="D127" s="46" t="s">
        <v>27</v>
      </c>
      <c r="E127" s="46" t="s">
        <v>28</v>
      </c>
      <c r="F127" s="46" t="s">
        <v>29</v>
      </c>
      <c r="G127" s="13"/>
      <c r="H127" s="14"/>
    </row>
    <row r="128" spans="1:8" s="12" customFormat="1" ht="33" customHeight="1" x14ac:dyDescent="0.25">
      <c r="A128" s="46" t="s">
        <v>30</v>
      </c>
      <c r="B128" s="47" t="s">
        <v>31</v>
      </c>
      <c r="C128" s="46" t="s">
        <v>32</v>
      </c>
      <c r="D128" s="46" t="s">
        <v>33</v>
      </c>
      <c r="E128" s="46" t="s">
        <v>31</v>
      </c>
      <c r="F128" s="46" t="s">
        <v>34</v>
      </c>
      <c r="G128" s="13"/>
      <c r="H128" s="14"/>
    </row>
    <row r="129" spans="1:8" s="12" customFormat="1" ht="33" customHeight="1" x14ac:dyDescent="0.25">
      <c r="A129" s="44"/>
      <c r="B129" s="47" t="s">
        <v>35</v>
      </c>
      <c r="C129" s="46" t="s">
        <v>36</v>
      </c>
      <c r="D129" s="46" t="s">
        <v>35</v>
      </c>
      <c r="E129" s="46" t="s">
        <v>37</v>
      </c>
      <c r="F129" s="46" t="s">
        <v>38</v>
      </c>
      <c r="G129" s="13"/>
      <c r="H129" s="14"/>
    </row>
    <row r="130" spans="1:8" s="12" customFormat="1" ht="33" customHeight="1" x14ac:dyDescent="0.25">
      <c r="A130" s="44"/>
      <c r="B130" s="48"/>
      <c r="C130" s="46" t="s">
        <v>35</v>
      </c>
      <c r="D130" s="46" t="s">
        <v>39</v>
      </c>
      <c r="E130" s="46" t="s">
        <v>40</v>
      </c>
      <c r="F130" s="46" t="s">
        <v>41</v>
      </c>
      <c r="G130" s="13"/>
      <c r="H130" s="14"/>
    </row>
    <row r="131" spans="1:8" s="12" customFormat="1" ht="33" customHeight="1" thickBot="1" x14ac:dyDescent="0.3">
      <c r="A131" s="49"/>
      <c r="B131" s="50"/>
      <c r="C131" s="51" t="s">
        <v>42</v>
      </c>
      <c r="D131" s="52"/>
      <c r="E131" s="53" t="s">
        <v>43</v>
      </c>
      <c r="F131" s="52"/>
      <c r="G131" s="13"/>
      <c r="H131" s="14"/>
    </row>
    <row r="132" spans="1:8" s="12" customFormat="1" ht="47.25" customHeight="1" thickBot="1" x14ac:dyDescent="0.3">
      <c r="A132" s="54" t="s">
        <v>44</v>
      </c>
      <c r="B132" s="55">
        <f t="shared" ref="B132:B147" si="0">D132+F132</f>
        <v>117857.5</v>
      </c>
      <c r="C132" s="56">
        <v>0</v>
      </c>
      <c r="D132" s="56">
        <f>117857.5</f>
        <v>117857.5</v>
      </c>
      <c r="E132" s="56">
        <f>D132+C132</f>
        <v>117857.5</v>
      </c>
      <c r="F132" s="57">
        <v>0</v>
      </c>
      <c r="G132" s="13"/>
      <c r="H132" s="14"/>
    </row>
    <row r="133" spans="1:8" s="12" customFormat="1" ht="47.25" customHeight="1" thickBot="1" x14ac:dyDescent="0.3">
      <c r="A133" s="54" t="s">
        <v>45</v>
      </c>
      <c r="B133" s="55">
        <f t="shared" si="0"/>
        <v>0</v>
      </c>
      <c r="C133" s="56">
        <v>0</v>
      </c>
      <c r="D133" s="56">
        <v>0</v>
      </c>
      <c r="E133" s="56">
        <f t="shared" ref="E133:E147" si="1">D133+C133</f>
        <v>0</v>
      </c>
      <c r="F133" s="57">
        <v>0</v>
      </c>
      <c r="G133" s="13"/>
      <c r="H133" s="14"/>
    </row>
    <row r="134" spans="1:8" s="12" customFormat="1" ht="47.25" customHeight="1" thickBot="1" x14ac:dyDescent="0.3">
      <c r="A134" s="54" t="s">
        <v>46</v>
      </c>
      <c r="B134" s="55">
        <f>D134+F134</f>
        <v>5170385.1799999988</v>
      </c>
      <c r="C134" s="56">
        <f>199918.63+113784.26</f>
        <v>313702.89</v>
      </c>
      <c r="D134" s="56">
        <f>168300.87+295304.06+654.57+447188.3+46974.17+540873.34+47242.44+439344.53+11779.8+118801.73+7117.77+226912.34+1719.07+141708.73+47666.82+908379.02+390956.48+546279.87+22923.84+23088</f>
        <v>4433215.7499999991</v>
      </c>
      <c r="E134" s="56">
        <f>D134+C134</f>
        <v>4746918.6399999987</v>
      </c>
      <c r="F134" s="57">
        <f>577314.98+159854.45</f>
        <v>737169.42999999993</v>
      </c>
      <c r="G134" s="13"/>
      <c r="H134" s="14"/>
    </row>
    <row r="135" spans="1:8" s="12" customFormat="1" ht="53.25" customHeight="1" thickBot="1" x14ac:dyDescent="0.3">
      <c r="A135" s="58" t="s">
        <v>47</v>
      </c>
      <c r="B135" s="55">
        <f t="shared" si="0"/>
        <v>7335560.4699999988</v>
      </c>
      <c r="C135" s="56">
        <f>200899.44+573150.36+1785.02</f>
        <v>775834.82000000007</v>
      </c>
      <c r="D135" s="56">
        <f>136653.44+27591.52+592525.21+19154.4+536010.56+20000.31+914348.24+57880.78+676455.03+1851.35+665136.03+33171.85+183347.83+10997.91+464996.25+76647.02+908611.56+29322.61+3720+492616.08+421609.92+22358.25+10979.22</f>
        <v>6305985.3699999992</v>
      </c>
      <c r="E135" s="56">
        <f t="shared" si="1"/>
        <v>7081820.1899999995</v>
      </c>
      <c r="F135" s="57">
        <f>672766.43+356808.67</f>
        <v>1029575.1000000001</v>
      </c>
      <c r="G135" s="13"/>
      <c r="H135" s="14"/>
    </row>
    <row r="136" spans="1:8" s="12" customFormat="1" ht="47.25" customHeight="1" thickBot="1" x14ac:dyDescent="0.3">
      <c r="A136" s="54" t="s">
        <v>48</v>
      </c>
      <c r="B136" s="55">
        <f t="shared" si="0"/>
        <v>13.06</v>
      </c>
      <c r="C136" s="56">
        <v>0</v>
      </c>
      <c r="D136" s="56">
        <f>13.06</f>
        <v>13.06</v>
      </c>
      <c r="E136" s="56">
        <f t="shared" si="1"/>
        <v>13.06</v>
      </c>
      <c r="F136" s="57">
        <v>0</v>
      </c>
      <c r="G136" s="13"/>
      <c r="H136" s="14"/>
    </row>
    <row r="137" spans="1:8" s="12" customFormat="1" ht="54" customHeight="1" thickBot="1" x14ac:dyDescent="0.3">
      <c r="A137" s="58" t="s">
        <v>49</v>
      </c>
      <c r="B137" s="55">
        <f t="shared" si="0"/>
        <v>899669.91999999993</v>
      </c>
      <c r="C137" s="56">
        <f>58072.43+1452.1</f>
        <v>59524.53</v>
      </c>
      <c r="D137" s="56">
        <f>55992.43+78240.85+78861.75+90640.57+1440.71+71472.22+94317.49+70738.81+2912.86+62429.37+54621.46+4090+41159.21+111179.37+9098.97</f>
        <v>827196.07</v>
      </c>
      <c r="E137" s="56">
        <f t="shared" si="1"/>
        <v>886720.6</v>
      </c>
      <c r="F137" s="57">
        <f>62767.31+9706.54</f>
        <v>72473.850000000006</v>
      </c>
      <c r="G137" s="13"/>
      <c r="H137" s="14"/>
    </row>
    <row r="138" spans="1:8" s="12" customFormat="1" ht="47.25" customHeight="1" thickBot="1" x14ac:dyDescent="0.3">
      <c r="A138" s="54" t="s">
        <v>50</v>
      </c>
      <c r="B138" s="55">
        <f t="shared" si="0"/>
        <v>53871006.32</v>
      </c>
      <c r="C138" s="56">
        <f>280914.28</f>
        <v>280914.28000000003</v>
      </c>
      <c r="D138" s="56">
        <f>3830246.2+275397.72+3719067.12+267256.52+3505897.83+262639.7+4041951.24+286893.84+3922748.91+278317.31+4061068.91+350551.9+4043738.07+287890.3+4136707.7+294467.64+4612089.68+328900.24+4623017.4+4655357.56+327697.17+327615.97+4800563.31+294858</f>
        <v>53534940.240000002</v>
      </c>
      <c r="E138" s="56">
        <f t="shared" si="1"/>
        <v>53815854.520000003</v>
      </c>
      <c r="F138" s="57">
        <f>336057.08+9</f>
        <v>336066.08</v>
      </c>
      <c r="G138" s="13"/>
      <c r="H138" s="14"/>
    </row>
    <row r="139" spans="1:8" s="12" customFormat="1" ht="55.5" customHeight="1" thickBot="1" x14ac:dyDescent="0.3">
      <c r="A139" s="58" t="s">
        <v>51</v>
      </c>
      <c r="B139" s="55">
        <f t="shared" si="0"/>
        <v>3166546.14</v>
      </c>
      <c r="C139" s="56">
        <f>144224.38+16014.2</f>
        <v>160238.58000000002</v>
      </c>
      <c r="D139" s="56">
        <f>120404.36+143262.74+14760.9+19269.16+130671.17+179439.85+144076.35+208071.12+119868.89+33472.49+145089.62+479220.81+153420.48+176806.5+82672.66+180166.75+43696.19+182899.29+81691.17+36194.96+153094+156207.73+32072</f>
        <v>3016529.19</v>
      </c>
      <c r="E139" s="56">
        <f t="shared" si="1"/>
        <v>3176767.77</v>
      </c>
      <c r="F139" s="57">
        <f>136144.45+13872.5</f>
        <v>150016.95000000001</v>
      </c>
      <c r="G139" s="13"/>
      <c r="H139" s="14"/>
    </row>
    <row r="140" spans="1:8" s="12" customFormat="1" ht="47.25" customHeight="1" thickBot="1" x14ac:dyDescent="0.3">
      <c r="A140" s="54" t="s">
        <v>52</v>
      </c>
      <c r="B140" s="55">
        <f t="shared" si="0"/>
        <v>0</v>
      </c>
      <c r="C140" s="56">
        <v>0</v>
      </c>
      <c r="D140" s="56">
        <v>0</v>
      </c>
      <c r="E140" s="56">
        <f t="shared" si="1"/>
        <v>0</v>
      </c>
      <c r="F140" s="57">
        <v>0</v>
      </c>
      <c r="G140" s="59"/>
      <c r="H140" s="60"/>
    </row>
    <row r="141" spans="1:8" s="12" customFormat="1" ht="47.25" customHeight="1" thickBot="1" x14ac:dyDescent="0.3">
      <c r="A141" s="54" t="s">
        <v>53</v>
      </c>
      <c r="B141" s="55">
        <f t="shared" si="0"/>
        <v>231464.07</v>
      </c>
      <c r="C141" s="56">
        <v>0</v>
      </c>
      <c r="D141" s="56">
        <v>209989.85</v>
      </c>
      <c r="E141" s="56">
        <f t="shared" si="1"/>
        <v>209989.85</v>
      </c>
      <c r="F141" s="57">
        <v>21474.22</v>
      </c>
      <c r="G141" s="13"/>
      <c r="H141" s="14"/>
    </row>
    <row r="142" spans="1:8" s="12" customFormat="1" ht="47.25" customHeight="1" thickBot="1" x14ac:dyDescent="0.3">
      <c r="A142" s="54" t="s">
        <v>54</v>
      </c>
      <c r="B142" s="55">
        <f t="shared" si="0"/>
        <v>0</v>
      </c>
      <c r="C142" s="56">
        <v>0</v>
      </c>
      <c r="D142" s="56">
        <v>0</v>
      </c>
      <c r="E142" s="56">
        <f t="shared" si="1"/>
        <v>0</v>
      </c>
      <c r="F142" s="57">
        <v>0</v>
      </c>
      <c r="G142" s="59"/>
      <c r="H142" s="60"/>
    </row>
    <row r="143" spans="1:8" s="12" customFormat="1" ht="47.25" customHeight="1" thickBot="1" x14ac:dyDescent="0.3">
      <c r="A143" s="54" t="s">
        <v>55</v>
      </c>
      <c r="B143" s="55">
        <f t="shared" si="0"/>
        <v>0</v>
      </c>
      <c r="C143" s="56">
        <v>0</v>
      </c>
      <c r="D143" s="56">
        <v>0</v>
      </c>
      <c r="E143" s="56">
        <f t="shared" si="1"/>
        <v>0</v>
      </c>
      <c r="F143" s="57">
        <v>0</v>
      </c>
      <c r="G143" s="13"/>
      <c r="H143" s="14"/>
    </row>
    <row r="144" spans="1:8" s="12" customFormat="1" ht="54" customHeight="1" thickBot="1" x14ac:dyDescent="0.3">
      <c r="A144" s="58" t="s">
        <v>56</v>
      </c>
      <c r="B144" s="55">
        <f t="shared" si="0"/>
        <v>0</v>
      </c>
      <c r="C144" s="56">
        <v>0</v>
      </c>
      <c r="D144" s="56">
        <v>0</v>
      </c>
      <c r="E144" s="56">
        <f t="shared" si="1"/>
        <v>0</v>
      </c>
      <c r="F144" s="57">
        <v>0</v>
      </c>
      <c r="G144" s="13"/>
      <c r="H144" s="14"/>
    </row>
    <row r="145" spans="1:253" s="12" customFormat="1" ht="47.25" customHeight="1" thickBot="1" x14ac:dyDescent="0.3">
      <c r="A145" s="54" t="s">
        <v>57</v>
      </c>
      <c r="B145" s="55">
        <f t="shared" si="0"/>
        <v>0</v>
      </c>
      <c r="C145" s="56">
        <v>0</v>
      </c>
      <c r="D145" s="56">
        <v>0</v>
      </c>
      <c r="E145" s="56">
        <f t="shared" si="1"/>
        <v>0</v>
      </c>
      <c r="F145" s="57">
        <v>0</v>
      </c>
      <c r="G145" s="13"/>
      <c r="H145" s="14"/>
    </row>
    <row r="146" spans="1:253" s="12" customFormat="1" ht="55.5" customHeight="1" thickBot="1" x14ac:dyDescent="0.3">
      <c r="A146" s="58" t="s">
        <v>58</v>
      </c>
      <c r="B146" s="55">
        <f t="shared" si="0"/>
        <v>37954.949999999997</v>
      </c>
      <c r="C146" s="56">
        <v>0</v>
      </c>
      <c r="D146" s="56">
        <f>2863.3+2894.65+3058+3036+3146+3146+3223+3146+3234+3256+3300+3344+308</f>
        <v>37954.949999999997</v>
      </c>
      <c r="E146" s="56">
        <f t="shared" si="1"/>
        <v>37954.949999999997</v>
      </c>
      <c r="F146" s="57">
        <v>0</v>
      </c>
      <c r="G146" s="13"/>
      <c r="H146" s="14"/>
    </row>
    <row r="147" spans="1:253" s="12" customFormat="1" ht="47.25" customHeight="1" thickBot="1" x14ac:dyDescent="0.3">
      <c r="A147" s="54" t="s">
        <v>59</v>
      </c>
      <c r="B147" s="55">
        <f t="shared" si="0"/>
        <v>0</v>
      </c>
      <c r="C147" s="56">
        <v>0</v>
      </c>
      <c r="D147" s="56">
        <v>0</v>
      </c>
      <c r="E147" s="56">
        <f t="shared" si="1"/>
        <v>0</v>
      </c>
      <c r="F147" s="57">
        <v>0</v>
      </c>
      <c r="G147" s="13"/>
      <c r="H147" s="14"/>
    </row>
    <row r="148" spans="1:253" s="12" customFormat="1" ht="47.25" customHeight="1" thickBot="1" x14ac:dyDescent="0.3">
      <c r="A148" s="61" t="s">
        <v>0</v>
      </c>
      <c r="B148" s="62">
        <f>SUM(B132:B147)</f>
        <v>70830457.609999999</v>
      </c>
      <c r="C148" s="62">
        <f>SUM(C132:C147)</f>
        <v>1590215.1</v>
      </c>
      <c r="D148" s="62">
        <f>SUM(D132:D147)</f>
        <v>68483681.980000004</v>
      </c>
      <c r="E148" s="62">
        <f>SUM(E132:E147)</f>
        <v>70073897.079999998</v>
      </c>
      <c r="F148" s="62">
        <f>SUM(F132:F147)</f>
        <v>2346775.6300000004</v>
      </c>
      <c r="G148" s="13"/>
      <c r="H148" s="14"/>
    </row>
    <row r="149" spans="1:253" s="64" customFormat="1" ht="30" customHeight="1" x14ac:dyDescent="0.25">
      <c r="A149" s="36" t="s">
        <v>60</v>
      </c>
      <c r="B149" s="37"/>
      <c r="C149" s="37"/>
      <c r="D149" s="37"/>
      <c r="E149" s="63"/>
      <c r="F149" s="1"/>
      <c r="G149" s="13"/>
      <c r="H149" s="14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</row>
    <row r="150" spans="1:253" s="64" customFormat="1" ht="30" customHeight="1" x14ac:dyDescent="0.25">
      <c r="A150" s="36" t="s">
        <v>61</v>
      </c>
      <c r="B150" s="37"/>
      <c r="C150" s="65"/>
      <c r="D150" s="66"/>
      <c r="E150" s="67"/>
      <c r="F150" s="1"/>
      <c r="G150" s="13"/>
      <c r="H150" s="14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</row>
    <row r="151" spans="1:253" s="64" customFormat="1" ht="30" customHeight="1" x14ac:dyDescent="0.25">
      <c r="A151" s="36" t="s">
        <v>62</v>
      </c>
      <c r="B151" s="37"/>
      <c r="C151" s="65"/>
      <c r="D151" s="68"/>
      <c r="E151" s="67"/>
      <c r="F151" s="1"/>
      <c r="G151" s="13"/>
      <c r="H151" s="14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</row>
    <row r="152" spans="1:253" s="64" customFormat="1" ht="30" customHeight="1" x14ac:dyDescent="0.25">
      <c r="A152" s="36" t="s">
        <v>63</v>
      </c>
      <c r="B152" s="37"/>
      <c r="C152" s="37"/>
      <c r="D152" s="37"/>
      <c r="E152" s="63"/>
      <c r="F152" s="1"/>
      <c r="G152" s="13"/>
      <c r="H152" s="14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</row>
    <row r="153" spans="1:253" s="64" customFormat="1" ht="30" customHeight="1" x14ac:dyDescent="0.25">
      <c r="A153" s="36" t="s">
        <v>64</v>
      </c>
      <c r="B153" s="37"/>
      <c r="C153" s="37"/>
      <c r="D153" s="37"/>
      <c r="E153" s="63"/>
      <c r="F153" s="1"/>
      <c r="G153" s="13"/>
      <c r="H153" s="14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</row>
    <row r="154" spans="1:253" s="64" customFormat="1" ht="30" customHeight="1" x14ac:dyDescent="0.25">
      <c r="A154" s="36" t="s">
        <v>65</v>
      </c>
      <c r="B154" s="37"/>
      <c r="C154" s="37"/>
      <c r="D154" s="37"/>
      <c r="E154" s="63"/>
      <c r="F154" s="1"/>
      <c r="G154" s="13"/>
      <c r="H154" s="14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</row>
    <row r="155" spans="1:253" s="64" customFormat="1" ht="30" customHeight="1" x14ac:dyDescent="0.25">
      <c r="A155" s="69" t="s">
        <v>66</v>
      </c>
      <c r="B155" s="69"/>
      <c r="C155" s="69"/>
      <c r="D155" s="70"/>
      <c r="E155" s="71"/>
      <c r="F155" s="12"/>
      <c r="G155" s="13"/>
      <c r="H155" s="14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</row>
    <row r="156" spans="1:253" s="64" customFormat="1" ht="30" customHeight="1" x14ac:dyDescent="0.25">
      <c r="A156" s="69" t="s">
        <v>67</v>
      </c>
      <c r="B156" s="69"/>
      <c r="C156" s="69"/>
      <c r="D156" s="72"/>
      <c r="E156" s="71"/>
      <c r="F156" s="12"/>
      <c r="G156" s="13"/>
      <c r="H156" s="14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</row>
    <row r="157" spans="1:253" s="64" customFormat="1" ht="30" customHeight="1" x14ac:dyDescent="0.25">
      <c r="A157" s="69" t="s">
        <v>68</v>
      </c>
      <c r="B157" s="69"/>
      <c r="C157" s="69"/>
      <c r="D157" s="69"/>
      <c r="E157" s="71"/>
      <c r="F157" s="12"/>
      <c r="G157" s="13"/>
      <c r="H157" s="14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</row>
    <row r="158" spans="1:253" s="64" customFormat="1" ht="30" customHeight="1" x14ac:dyDescent="0.25">
      <c r="A158" s="69" t="s">
        <v>69</v>
      </c>
      <c r="B158" s="69"/>
      <c r="C158" s="69"/>
      <c r="D158" s="69"/>
      <c r="E158" s="71"/>
      <c r="F158" s="12"/>
      <c r="G158" s="13"/>
      <c r="H158" s="14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</row>
    <row r="159" spans="1:253" s="64" customFormat="1" ht="30" customHeight="1" x14ac:dyDescent="0.25">
      <c r="A159" s="69"/>
      <c r="B159" s="69"/>
      <c r="C159" s="69"/>
      <c r="D159" s="69"/>
      <c r="E159" s="71"/>
      <c r="F159" s="12"/>
      <c r="G159" s="13"/>
      <c r="H159" s="14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</row>
    <row r="160" spans="1:253" s="64" customFormat="1" ht="30" customHeight="1" x14ac:dyDescent="0.25">
      <c r="A160" s="36" t="s">
        <v>70</v>
      </c>
      <c r="B160" s="37"/>
      <c r="C160" s="37"/>
      <c r="D160" s="37"/>
      <c r="E160" s="63"/>
      <c r="F160" s="1"/>
      <c r="G160" s="13"/>
      <c r="H160" s="14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</row>
    <row r="161" spans="1:253" s="64" customFormat="1" ht="30" customHeight="1" x14ac:dyDescent="0.25">
      <c r="A161" s="36"/>
      <c r="B161" s="37"/>
      <c r="C161" s="37"/>
      <c r="D161" s="37"/>
      <c r="E161" s="63"/>
      <c r="F161" s="1"/>
      <c r="G161" s="13"/>
      <c r="H161" s="14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</row>
    <row r="162" spans="1:253" s="64" customFormat="1" ht="30" customHeight="1" x14ac:dyDescent="0.25">
      <c r="A162" s="36"/>
      <c r="B162" s="37"/>
      <c r="C162" s="37"/>
      <c r="D162" s="37"/>
      <c r="E162" s="63"/>
      <c r="F162" s="1"/>
      <c r="G162" s="13"/>
      <c r="H162" s="14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</row>
    <row r="163" spans="1:253" s="64" customFormat="1" ht="30" customHeight="1" x14ac:dyDescent="0.25">
      <c r="A163" s="36"/>
      <c r="B163" s="37"/>
      <c r="C163" s="37"/>
      <c r="D163" s="37"/>
      <c r="E163" s="63"/>
      <c r="F163" s="1"/>
      <c r="G163" s="13"/>
      <c r="H163" s="14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</row>
    <row r="164" spans="1:253" s="64" customFormat="1" ht="30" customHeight="1" x14ac:dyDescent="0.25">
      <c r="A164" s="36"/>
      <c r="B164" s="37"/>
      <c r="C164" s="37"/>
      <c r="D164" s="37"/>
      <c r="E164" s="63"/>
      <c r="F164" s="1"/>
      <c r="G164" s="13"/>
      <c r="H164" s="14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</row>
    <row r="165" spans="1:253" ht="30" customHeight="1" x14ac:dyDescent="0.25">
      <c r="A165" s="36"/>
      <c r="B165" s="37"/>
      <c r="C165" s="37"/>
      <c r="D165" s="37"/>
      <c r="E165" s="63"/>
    </row>
    <row r="166" spans="1:253" ht="30" customHeight="1" x14ac:dyDescent="0.25">
      <c r="A166" s="36"/>
      <c r="B166" s="37"/>
      <c r="C166" s="37"/>
      <c r="D166" s="37"/>
      <c r="E166" s="63"/>
    </row>
    <row r="167" spans="1:253" ht="30" customHeight="1" x14ac:dyDescent="0.25">
      <c r="A167" s="36"/>
      <c r="B167" s="37"/>
      <c r="C167" s="37"/>
      <c r="D167" s="37"/>
      <c r="E167" s="63"/>
    </row>
    <row r="168" spans="1:253" ht="30" customHeight="1" x14ac:dyDescent="0.25">
      <c r="A168" s="36"/>
      <c r="B168" s="37"/>
      <c r="C168" s="37"/>
      <c r="D168" s="37"/>
      <c r="E168" s="63"/>
    </row>
    <row r="169" spans="1:253" ht="30" customHeight="1" x14ac:dyDescent="0.25">
      <c r="A169" s="36"/>
      <c r="B169" s="37"/>
      <c r="C169" s="37"/>
      <c r="D169" s="37"/>
      <c r="E169" s="63"/>
    </row>
    <row r="170" spans="1:253" ht="30" customHeight="1" x14ac:dyDescent="0.25">
      <c r="A170" s="36"/>
      <c r="B170" s="37"/>
      <c r="C170" s="37"/>
      <c r="D170" s="37"/>
      <c r="E170" s="63"/>
    </row>
    <row r="171" spans="1:253" ht="30" customHeight="1" x14ac:dyDescent="0.25">
      <c r="A171" s="36"/>
      <c r="B171" s="37"/>
      <c r="C171" s="37"/>
      <c r="D171" s="37"/>
      <c r="E171" s="63"/>
    </row>
    <row r="172" spans="1:253" ht="30" customHeight="1" x14ac:dyDescent="0.25">
      <c r="A172" s="36"/>
      <c r="B172" s="37"/>
      <c r="C172" s="37"/>
      <c r="D172" s="37"/>
      <c r="E172" s="63"/>
    </row>
    <row r="173" spans="1:253" ht="30" customHeight="1" thickBot="1" x14ac:dyDescent="0.3">
      <c r="A173" s="222"/>
      <c r="B173" s="222"/>
      <c r="C173" s="222"/>
      <c r="D173" s="222"/>
      <c r="E173" s="222"/>
      <c r="F173" s="222"/>
    </row>
    <row r="174" spans="1:253" s="12" customFormat="1" ht="38.25" customHeight="1" thickBot="1" x14ac:dyDescent="0.3">
      <c r="A174" s="223" t="s">
        <v>71</v>
      </c>
      <c r="B174" s="224"/>
      <c r="C174" s="224"/>
      <c r="D174" s="224"/>
      <c r="E174" s="224"/>
      <c r="F174" s="225"/>
      <c r="G174" s="13"/>
      <c r="H174" s="14"/>
    </row>
    <row r="175" spans="1:253" s="12" customFormat="1" ht="38.25" customHeight="1" thickBot="1" x14ac:dyDescent="0.3">
      <c r="A175" s="226" t="s">
        <v>72</v>
      </c>
      <c r="B175" s="227"/>
      <c r="C175" s="227"/>
      <c r="D175" s="228"/>
      <c r="E175" s="229">
        <f>E106</f>
        <v>74415576.210000008</v>
      </c>
      <c r="F175" s="230"/>
      <c r="G175" s="13"/>
      <c r="H175" s="14"/>
    </row>
    <row r="176" spans="1:253" s="12" customFormat="1" ht="38.25" customHeight="1" thickBot="1" x14ac:dyDescent="0.3">
      <c r="A176" s="226" t="s">
        <v>73</v>
      </c>
      <c r="B176" s="227"/>
      <c r="C176" s="227"/>
      <c r="D176" s="228"/>
      <c r="E176" s="229">
        <f>C148+D148</f>
        <v>70073897.079999998</v>
      </c>
      <c r="F176" s="230"/>
      <c r="G176" s="13"/>
      <c r="H176" s="14"/>
    </row>
    <row r="177" spans="1:8" s="12" customFormat="1" ht="38.25" customHeight="1" thickBot="1" x14ac:dyDescent="0.3">
      <c r="A177" s="226" t="s">
        <v>74</v>
      </c>
      <c r="B177" s="227"/>
      <c r="C177" s="227"/>
      <c r="D177" s="228"/>
      <c r="E177" s="231">
        <f>E103-(E176-E105)</f>
        <v>4341679.1300000101</v>
      </c>
      <c r="F177" s="232"/>
      <c r="G177" s="13"/>
      <c r="H177" s="14"/>
    </row>
    <row r="178" spans="1:8" s="12" customFormat="1" ht="38.25" customHeight="1" thickBot="1" x14ac:dyDescent="0.3">
      <c r="A178" s="226" t="s">
        <v>75</v>
      </c>
      <c r="B178" s="227"/>
      <c r="C178" s="227"/>
      <c r="D178" s="228"/>
      <c r="E178" s="236">
        <v>0</v>
      </c>
      <c r="F178" s="237"/>
      <c r="G178" s="13"/>
      <c r="H178" s="14"/>
    </row>
    <row r="179" spans="1:8" s="12" customFormat="1" ht="38.25" customHeight="1" thickBot="1" x14ac:dyDescent="0.3">
      <c r="A179" s="226" t="s">
        <v>76</v>
      </c>
      <c r="B179" s="227"/>
      <c r="C179" s="227"/>
      <c r="D179" s="228"/>
      <c r="E179" s="229">
        <f>E177-E178</f>
        <v>4341679.1300000101</v>
      </c>
      <c r="F179" s="230"/>
      <c r="G179" s="13"/>
      <c r="H179" s="14"/>
    </row>
    <row r="180" spans="1:8" ht="30" customHeight="1" x14ac:dyDescent="0.25">
      <c r="A180" s="40"/>
      <c r="B180" s="39"/>
      <c r="C180" s="39"/>
      <c r="D180" s="39"/>
    </row>
    <row r="181" spans="1:8" ht="30" customHeight="1" x14ac:dyDescent="0.25">
      <c r="A181" s="233" t="s">
        <v>77</v>
      </c>
      <c r="B181" s="233"/>
      <c r="C181" s="233"/>
      <c r="D181" s="233"/>
      <c r="E181" s="233"/>
      <c r="F181" s="233"/>
    </row>
    <row r="182" spans="1:8" ht="30" customHeight="1" x14ac:dyDescent="0.25">
      <c r="A182" s="233"/>
      <c r="B182" s="233"/>
      <c r="C182" s="233"/>
      <c r="D182" s="233"/>
      <c r="E182" s="233"/>
      <c r="F182" s="233"/>
    </row>
    <row r="183" spans="1:8" ht="30" customHeight="1" x14ac:dyDescent="0.25">
      <c r="A183" s="73"/>
      <c r="B183" s="73"/>
      <c r="C183" s="73"/>
      <c r="D183" s="73"/>
      <c r="E183" s="73"/>
      <c r="F183" s="73"/>
    </row>
    <row r="184" spans="1:8" ht="30" customHeight="1" x14ac:dyDescent="0.25">
      <c r="A184" s="73"/>
      <c r="B184" s="73"/>
      <c r="C184" s="73"/>
      <c r="D184" s="73"/>
      <c r="E184" s="73"/>
      <c r="F184" s="73"/>
    </row>
    <row r="185" spans="1:8" ht="30" customHeight="1" x14ac:dyDescent="0.25">
      <c r="A185" s="73"/>
      <c r="B185" s="73"/>
      <c r="C185" s="73"/>
      <c r="D185" s="73"/>
      <c r="E185" s="73"/>
      <c r="F185" s="73"/>
    </row>
    <row r="186" spans="1:8" ht="30" customHeight="1" x14ac:dyDescent="0.25">
      <c r="A186" s="73"/>
      <c r="B186" s="73"/>
      <c r="C186" s="73"/>
      <c r="D186" s="73"/>
      <c r="E186" s="73"/>
      <c r="F186" s="73"/>
    </row>
    <row r="187" spans="1:8" ht="30" customHeight="1" x14ac:dyDescent="0.25">
      <c r="A187" s="74"/>
      <c r="B187" s="75"/>
      <c r="C187" s="75"/>
      <c r="D187" s="75"/>
      <c r="E187" s="76"/>
      <c r="F187" s="12"/>
    </row>
    <row r="188" spans="1:8" ht="30" customHeight="1" x14ac:dyDescent="0.25">
      <c r="A188" s="77" t="s">
        <v>212</v>
      </c>
      <c r="B188" s="78"/>
      <c r="C188" s="78"/>
      <c r="D188" s="78"/>
      <c r="E188" s="79"/>
      <c r="F188" s="80"/>
    </row>
    <row r="189" spans="1:8" ht="30" customHeight="1" x14ac:dyDescent="0.25">
      <c r="A189" s="77"/>
      <c r="B189" s="78"/>
      <c r="C189" s="78"/>
      <c r="D189" s="78"/>
      <c r="E189" s="79"/>
      <c r="F189" s="80"/>
    </row>
    <row r="194" spans="1:253" x14ac:dyDescent="0.25">
      <c r="E194" s="38"/>
    </row>
    <row r="197" spans="1:253" ht="30" x14ac:dyDescent="0.25">
      <c r="A197" s="84"/>
      <c r="B197" s="15"/>
      <c r="C197" s="15"/>
      <c r="D197" s="15"/>
      <c r="E197" s="12"/>
    </row>
    <row r="198" spans="1:253" ht="30" x14ac:dyDescent="0.25">
      <c r="A198" s="84"/>
      <c r="B198" s="15"/>
      <c r="C198" s="15"/>
      <c r="D198" s="15"/>
      <c r="E198" s="12"/>
    </row>
    <row r="201" spans="1:253" s="64" customFormat="1" ht="48.75" customHeight="1" x14ac:dyDescent="0.25">
      <c r="A201" s="16"/>
      <c r="B201" s="15"/>
      <c r="C201" s="15"/>
      <c r="D201" s="15"/>
      <c r="E201" s="12"/>
      <c r="F201" s="1"/>
      <c r="G201" s="13"/>
      <c r="H201" s="14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</row>
    <row r="202" spans="1:253" s="64" customFormat="1" ht="48.75" customHeight="1" x14ac:dyDescent="0.25">
      <c r="A202" s="16"/>
      <c r="B202" s="15"/>
      <c r="C202" s="15"/>
      <c r="D202" s="15"/>
      <c r="E202" s="12"/>
      <c r="F202" s="1"/>
      <c r="G202" s="13"/>
      <c r="H202" s="14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</row>
    <row r="208" spans="1:253" s="64" customFormat="1" ht="27" x14ac:dyDescent="0.25">
      <c r="A208" s="16"/>
      <c r="B208" s="15"/>
      <c r="C208" s="15"/>
      <c r="D208" s="15"/>
      <c r="E208" s="12"/>
      <c r="F208" s="5"/>
      <c r="G208" s="13"/>
      <c r="H208" s="14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</row>
    <row r="209" spans="1:253" s="64" customFormat="1" ht="27" x14ac:dyDescent="0.25">
      <c r="A209" s="15"/>
      <c r="B209" s="15"/>
      <c r="C209" s="15"/>
      <c r="D209" s="15"/>
      <c r="E209" s="12"/>
      <c r="F209" s="6"/>
      <c r="G209" s="13"/>
      <c r="H209" s="14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</row>
    <row r="211" spans="1:253" s="64" customFormat="1" ht="30" x14ac:dyDescent="0.25">
      <c r="A211" s="15"/>
      <c r="B211" s="84"/>
      <c r="C211" s="84"/>
      <c r="D211" s="84"/>
      <c r="E211" s="85"/>
      <c r="F211" s="1"/>
      <c r="G211" s="13"/>
      <c r="H211" s="14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</row>
    <row r="212" spans="1:253" s="64" customFormat="1" ht="30" x14ac:dyDescent="0.25">
      <c r="A212" s="15"/>
      <c r="B212" s="84"/>
      <c r="C212" s="86"/>
      <c r="D212" s="87"/>
      <c r="E212" s="50"/>
      <c r="F212" s="1"/>
      <c r="G212" s="13"/>
      <c r="H212" s="14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</row>
    <row r="215" spans="1:253" s="1" customFormat="1" ht="30" x14ac:dyDescent="0.25">
      <c r="A215" s="15"/>
      <c r="B215" s="216"/>
      <c r="C215" s="216"/>
      <c r="D215" s="84"/>
      <c r="E215" s="85"/>
      <c r="G215" s="13"/>
      <c r="H215" s="14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</row>
    <row r="216" spans="1:253" s="1" customFormat="1" ht="30" x14ac:dyDescent="0.25">
      <c r="A216" s="15"/>
      <c r="B216" s="216"/>
      <c r="C216" s="216"/>
      <c r="D216" s="216"/>
      <c r="E216" s="216"/>
      <c r="G216" s="13"/>
      <c r="H216" s="14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</row>
    <row r="222" spans="1:253" s="1" customFormat="1" ht="30" x14ac:dyDescent="0.25">
      <c r="A222" s="15"/>
      <c r="B222" s="216"/>
      <c r="C222" s="216"/>
      <c r="D222" s="84"/>
      <c r="E222" s="85"/>
      <c r="G222" s="13"/>
      <c r="H222" s="14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</row>
    <row r="223" spans="1:253" s="1" customFormat="1" ht="30" x14ac:dyDescent="0.25">
      <c r="A223" s="15"/>
      <c r="B223" s="216"/>
      <c r="C223" s="216"/>
      <c r="D223" s="86"/>
      <c r="E223" s="45"/>
      <c r="G223" s="13"/>
      <c r="H223" s="14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</row>
  </sheetData>
  <mergeCells count="117">
    <mergeCell ref="A36:B36"/>
    <mergeCell ref="E36:F36"/>
    <mergeCell ref="A38:B38"/>
    <mergeCell ref="E38:F38"/>
    <mergeCell ref="A41:F41"/>
    <mergeCell ref="A39:B39"/>
    <mergeCell ref="E39:F39"/>
    <mergeCell ref="A53:A56"/>
    <mergeCell ref="B53:B56"/>
    <mergeCell ref="E53:F56"/>
    <mergeCell ref="A40:B40"/>
    <mergeCell ref="E40:F40"/>
    <mergeCell ref="A31:B31"/>
    <mergeCell ref="E31:F31"/>
    <mergeCell ref="A32:B32"/>
    <mergeCell ref="E32:F32"/>
    <mergeCell ref="A33:B33"/>
    <mergeCell ref="E33:F33"/>
    <mergeCell ref="A34:B34"/>
    <mergeCell ref="E34:F34"/>
    <mergeCell ref="E35:F35"/>
    <mergeCell ref="A7:E7"/>
    <mergeCell ref="A8:E8"/>
    <mergeCell ref="A9:F9"/>
    <mergeCell ref="A10:F10"/>
    <mergeCell ref="A18:F18"/>
    <mergeCell ref="A19:F19"/>
    <mergeCell ref="A20:F20"/>
    <mergeCell ref="A24:B24"/>
    <mergeCell ref="E24:F24"/>
    <mergeCell ref="A25:B25"/>
    <mergeCell ref="E25:F25"/>
    <mergeCell ref="A26:B26"/>
    <mergeCell ref="E26:F26"/>
    <mergeCell ref="E42:F42"/>
    <mergeCell ref="A99:D99"/>
    <mergeCell ref="E99:F99"/>
    <mergeCell ref="E43:F44"/>
    <mergeCell ref="A43:A44"/>
    <mergeCell ref="B43:B44"/>
    <mergeCell ref="E45:F49"/>
    <mergeCell ref="A45:A49"/>
    <mergeCell ref="B45:B49"/>
    <mergeCell ref="E51:F52"/>
    <mergeCell ref="B51:B52"/>
    <mergeCell ref="A37:B37"/>
    <mergeCell ref="E37:F37"/>
    <mergeCell ref="A35:B35"/>
    <mergeCell ref="B58:B60"/>
    <mergeCell ref="E58:F60"/>
    <mergeCell ref="A29:B29"/>
    <mergeCell ref="E29:F29"/>
    <mergeCell ref="A30:B30"/>
    <mergeCell ref="E30:F30"/>
    <mergeCell ref="B223:C223"/>
    <mergeCell ref="A179:D179"/>
    <mergeCell ref="E179:F179"/>
    <mergeCell ref="A181:F182"/>
    <mergeCell ref="B215:C215"/>
    <mergeCell ref="B216:C216"/>
    <mergeCell ref="D216:E216"/>
    <mergeCell ref="A100:D100"/>
    <mergeCell ref="E100:F100"/>
    <mergeCell ref="A101:D101"/>
    <mergeCell ref="E101:F101"/>
    <mergeCell ref="A102:D102"/>
    <mergeCell ref="E102:F102"/>
    <mergeCell ref="E178:F178"/>
    <mergeCell ref="A175:D175"/>
    <mergeCell ref="E175:F175"/>
    <mergeCell ref="A103:D103"/>
    <mergeCell ref="E103:F103"/>
    <mergeCell ref="A104:F104"/>
    <mergeCell ref="A105:D105"/>
    <mergeCell ref="E105:F105"/>
    <mergeCell ref="A106:D106"/>
    <mergeCell ref="E106:F106"/>
    <mergeCell ref="E66:F70"/>
    <mergeCell ref="A71:A72"/>
    <mergeCell ref="B71:B72"/>
    <mergeCell ref="E71:F72"/>
    <mergeCell ref="A61:A65"/>
    <mergeCell ref="B222:C222"/>
    <mergeCell ref="A109:C109"/>
    <mergeCell ref="A117:F118"/>
    <mergeCell ref="A123:F123"/>
    <mergeCell ref="A173:F173"/>
    <mergeCell ref="A174:F174"/>
    <mergeCell ref="A176:D176"/>
    <mergeCell ref="E176:F176"/>
    <mergeCell ref="A177:D177"/>
    <mergeCell ref="E177:F177"/>
    <mergeCell ref="A178:D178"/>
    <mergeCell ref="A27:B27"/>
    <mergeCell ref="E27:F27"/>
    <mergeCell ref="A28:B28"/>
    <mergeCell ref="E28:F28"/>
    <mergeCell ref="E50:F50"/>
    <mergeCell ref="A50:A52"/>
    <mergeCell ref="E57:F57"/>
    <mergeCell ref="A57:A60"/>
    <mergeCell ref="A93:A98"/>
    <mergeCell ref="B93:B98"/>
    <mergeCell ref="E93:F98"/>
    <mergeCell ref="B61:B65"/>
    <mergeCell ref="E61:F65"/>
    <mergeCell ref="A73:A86"/>
    <mergeCell ref="B73:B86"/>
    <mergeCell ref="E73:F86"/>
    <mergeCell ref="A91:A92"/>
    <mergeCell ref="B91:B92"/>
    <mergeCell ref="E91:F92"/>
    <mergeCell ref="A87:A90"/>
    <mergeCell ref="B87:B90"/>
    <mergeCell ref="E87:F90"/>
    <mergeCell ref="A66:A70"/>
    <mergeCell ref="B66:B70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36" fitToHeight="0" orientation="portrait" r:id="rId1"/>
  <rowBreaks count="2" manualBreakCount="2">
    <brk id="115" max="5" man="1"/>
    <brk id="1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5"/>
  <sheetViews>
    <sheetView zoomScale="50" zoomScaleNormal="50" zoomScaleSheetLayoutView="50" workbookViewId="0">
      <selection activeCell="E12" sqref="E12"/>
    </sheetView>
  </sheetViews>
  <sheetFormatPr defaultColWidth="0" defaultRowHeight="27.75" x14ac:dyDescent="0.25"/>
  <cols>
    <col min="1" max="1" width="44.42578125" style="16" customWidth="1"/>
    <col min="2" max="4" width="44.42578125" style="17" customWidth="1"/>
    <col min="5" max="5" width="44.5703125" style="18" customWidth="1"/>
    <col min="6" max="7" width="44.42578125" style="1" customWidth="1"/>
    <col min="8" max="8" width="40" style="88" customWidth="1"/>
    <col min="9" max="15" width="9.140625" style="15" customWidth="1"/>
    <col min="16" max="16" width="1.7109375" style="15" customWidth="1"/>
    <col min="17" max="28" width="9.140625" style="15" customWidth="1"/>
    <col min="29" max="29" width="1.42578125" style="15" customWidth="1"/>
    <col min="30" max="52" width="9.140625" style="15" customWidth="1"/>
    <col min="53" max="53" width="1.28515625" style="15" customWidth="1"/>
    <col min="54" max="74" width="9.140625" style="15" customWidth="1"/>
    <col min="75" max="75" width="1.28515625" style="15" customWidth="1"/>
    <col min="76" max="93" width="9.140625" style="15" customWidth="1"/>
    <col min="94" max="94" width="0.42578125" style="15" customWidth="1"/>
    <col min="95" max="95" width="1.140625" style="15" customWidth="1"/>
    <col min="96" max="118" width="9.140625" style="15" customWidth="1"/>
    <col min="119" max="119" width="1.7109375" style="15" customWidth="1"/>
    <col min="120" max="165" width="9.140625" style="15" customWidth="1"/>
    <col min="166" max="166" width="3.42578125" style="15" customWidth="1"/>
    <col min="167" max="189" width="9.140625" style="15" customWidth="1"/>
    <col min="190" max="190" width="2" style="15" customWidth="1"/>
    <col min="191" max="191" width="8" style="15" customWidth="1"/>
    <col min="192" max="196" width="9.140625" style="15" customWidth="1"/>
    <col min="197" max="197" width="8.7109375" style="15" customWidth="1"/>
    <col min="198" max="206" width="9.140625" style="15" customWidth="1"/>
    <col min="207" max="207" width="3.7109375" style="15" customWidth="1"/>
    <col min="208" max="209" width="9.140625" style="15" customWidth="1"/>
    <col min="210" max="210" width="2" style="15" customWidth="1"/>
    <col min="211" max="211" width="8" style="15" customWidth="1"/>
    <col min="212" max="216" width="9.140625" style="15" customWidth="1"/>
    <col min="217" max="217" width="8.7109375" style="15" customWidth="1"/>
    <col min="218" max="226" width="9.140625" style="15" customWidth="1"/>
    <col min="227" max="227" width="3.7109375" style="15" customWidth="1"/>
    <col min="228" max="229" width="9.140625" style="15" customWidth="1"/>
    <col min="230" max="230" width="2" style="15" customWidth="1"/>
    <col min="231" max="231" width="8" style="15" customWidth="1"/>
    <col min="232" max="236" width="9.140625" style="15" customWidth="1"/>
    <col min="237" max="237" width="8.7109375" style="15" customWidth="1"/>
    <col min="238" max="246" width="9.140625" style="15" customWidth="1"/>
    <col min="247" max="247" width="3.7109375" style="15" customWidth="1"/>
    <col min="248" max="248" width="9.140625" style="15" customWidth="1"/>
    <col min="249" max="255" width="0" style="15" hidden="1" customWidth="1"/>
    <col min="256" max="16384" width="9.140625" style="15" hidden="1"/>
  </cols>
  <sheetData>
    <row r="1" spans="1:8" ht="30" customHeight="1" x14ac:dyDescent="0.25">
      <c r="A1" s="222"/>
      <c r="B1" s="222"/>
      <c r="C1" s="222"/>
      <c r="D1" s="222"/>
      <c r="E1" s="222"/>
      <c r="F1" s="12"/>
      <c r="G1" s="12"/>
    </row>
    <row r="2" spans="1:8" ht="30" customHeight="1" x14ac:dyDescent="0.25">
      <c r="A2" s="89"/>
      <c r="B2" s="89"/>
      <c r="C2" s="89"/>
      <c r="D2" s="89"/>
      <c r="E2" s="89"/>
      <c r="F2" s="12"/>
      <c r="G2" s="12"/>
    </row>
    <row r="3" spans="1:8" ht="30" customHeight="1" x14ac:dyDescent="0.25">
      <c r="A3" s="89"/>
      <c r="B3" s="89"/>
      <c r="C3" s="89"/>
      <c r="D3" s="89"/>
      <c r="E3" s="89"/>
      <c r="F3" s="12"/>
      <c r="G3" s="12"/>
    </row>
    <row r="4" spans="1:8" ht="30" customHeight="1" x14ac:dyDescent="0.25">
      <c r="A4" s="89"/>
      <c r="B4" s="89"/>
      <c r="C4" s="89"/>
      <c r="D4" s="89"/>
      <c r="E4" s="89"/>
      <c r="F4" s="12"/>
      <c r="G4" s="12"/>
    </row>
    <row r="5" spans="1:8" ht="30" customHeight="1" x14ac:dyDescent="0.25">
      <c r="A5" s="89"/>
      <c r="B5" s="89"/>
      <c r="C5" s="89"/>
      <c r="D5" s="89"/>
      <c r="E5" s="89"/>
      <c r="F5" s="12"/>
      <c r="G5" s="12"/>
    </row>
    <row r="6" spans="1:8" ht="30" customHeight="1" x14ac:dyDescent="0.25">
      <c r="A6" s="89"/>
      <c r="B6" s="89"/>
      <c r="C6" s="89"/>
      <c r="D6" s="89"/>
      <c r="E6" s="89"/>
      <c r="F6" s="12"/>
      <c r="G6" s="12"/>
    </row>
    <row r="7" spans="1:8" ht="30" customHeight="1" x14ac:dyDescent="0.25">
      <c r="A7" s="89"/>
      <c r="B7" s="89"/>
      <c r="C7" s="89"/>
      <c r="D7" s="89"/>
      <c r="E7" s="89"/>
      <c r="F7" s="12"/>
      <c r="G7" s="12"/>
    </row>
    <row r="8" spans="1:8" ht="30" customHeight="1" x14ac:dyDescent="0.25">
      <c r="A8" s="244" t="s">
        <v>257</v>
      </c>
      <c r="B8" s="244"/>
      <c r="C8" s="244"/>
      <c r="D8" s="244"/>
      <c r="E8" s="244"/>
      <c r="F8" s="244"/>
      <c r="G8" s="103"/>
    </row>
    <row r="9" spans="1:8" ht="30" customHeight="1" x14ac:dyDescent="0.25">
      <c r="A9" s="244" t="s">
        <v>1</v>
      </c>
      <c r="B9" s="244"/>
      <c r="C9" s="244"/>
      <c r="D9" s="244"/>
      <c r="E9" s="244"/>
      <c r="F9" s="244"/>
      <c r="G9" s="104"/>
    </row>
    <row r="10" spans="1:8" ht="30" customHeight="1" x14ac:dyDescent="0.25"/>
    <row r="11" spans="1:8" s="12" customFormat="1" ht="30" customHeight="1" x14ac:dyDescent="0.25">
      <c r="A11" s="19" t="s">
        <v>241</v>
      </c>
      <c r="B11" s="20"/>
      <c r="C11" s="20"/>
      <c r="D11" s="20"/>
      <c r="E11" s="20"/>
      <c r="H11" s="88"/>
    </row>
    <row r="12" spans="1:8" s="12" customFormat="1" ht="30" customHeight="1" x14ac:dyDescent="0.25">
      <c r="A12" s="19" t="s">
        <v>242</v>
      </c>
      <c r="B12" s="20"/>
      <c r="C12" s="20"/>
      <c r="D12" s="20"/>
      <c r="E12" s="20"/>
      <c r="H12" s="88"/>
    </row>
    <row r="13" spans="1:8" s="12" customFormat="1" ht="30" customHeight="1" x14ac:dyDescent="0.25">
      <c r="A13" s="19" t="s">
        <v>243</v>
      </c>
      <c r="B13" s="20"/>
      <c r="C13" s="20"/>
      <c r="D13" s="20"/>
      <c r="E13" s="20"/>
      <c r="H13" s="88"/>
    </row>
    <row r="14" spans="1:8" s="12" customFormat="1" ht="30" customHeight="1" x14ac:dyDescent="0.25">
      <c r="A14" s="19" t="s">
        <v>244</v>
      </c>
      <c r="B14" s="20"/>
      <c r="C14" s="20"/>
      <c r="D14" s="20"/>
      <c r="E14" s="20"/>
      <c r="H14" s="88"/>
    </row>
    <row r="15" spans="1:8" s="12" customFormat="1" ht="30" customHeight="1" x14ac:dyDescent="0.25">
      <c r="A15" s="19" t="s">
        <v>245</v>
      </c>
      <c r="B15" s="20"/>
      <c r="C15" s="20"/>
      <c r="D15" s="20"/>
      <c r="E15" s="20"/>
      <c r="H15" s="88"/>
    </row>
    <row r="16" spans="1:8" s="12" customFormat="1" ht="30" customHeight="1" x14ac:dyDescent="0.25">
      <c r="A16" s="19" t="s">
        <v>246</v>
      </c>
      <c r="B16" s="20"/>
      <c r="C16" s="20"/>
      <c r="D16" s="20"/>
      <c r="E16" s="20"/>
      <c r="H16" s="88"/>
    </row>
    <row r="17" spans="1:10" s="12" customFormat="1" ht="30" customHeight="1" x14ac:dyDescent="0.25">
      <c r="A17" s="245" t="s">
        <v>247</v>
      </c>
      <c r="B17" s="245"/>
      <c r="C17" s="245"/>
      <c r="D17" s="245"/>
      <c r="E17" s="245"/>
      <c r="F17" s="245"/>
      <c r="G17" s="19"/>
      <c r="H17" s="90"/>
      <c r="J17" s="88"/>
    </row>
    <row r="18" spans="1:10" s="12" customFormat="1" ht="30" customHeight="1" x14ac:dyDescent="0.25">
      <c r="A18" s="246" t="s">
        <v>2</v>
      </c>
      <c r="B18" s="246"/>
      <c r="C18" s="246"/>
      <c r="D18" s="246"/>
      <c r="E18" s="246"/>
      <c r="F18" s="246"/>
      <c r="G18" s="105"/>
      <c r="H18" s="90"/>
      <c r="J18" s="88"/>
    </row>
    <row r="19" spans="1:10" s="12" customFormat="1" ht="30" customHeight="1" x14ac:dyDescent="0.25">
      <c r="A19" s="246" t="s">
        <v>3</v>
      </c>
      <c r="B19" s="246"/>
      <c r="C19" s="246"/>
      <c r="D19" s="246"/>
      <c r="E19" s="246"/>
      <c r="F19" s="246"/>
      <c r="G19" s="105"/>
      <c r="H19" s="90"/>
      <c r="J19" s="88"/>
    </row>
    <row r="20" spans="1:10" s="12" customFormat="1" ht="30" customHeight="1" x14ac:dyDescent="0.25">
      <c r="A20" s="19" t="s">
        <v>248</v>
      </c>
      <c r="B20" s="20"/>
      <c r="C20" s="20"/>
      <c r="D20" s="20"/>
      <c r="E20" s="20"/>
      <c r="F20" s="1"/>
      <c r="G20" s="1"/>
      <c r="H20" s="88"/>
    </row>
    <row r="21" spans="1:10" s="12" customFormat="1" ht="30" customHeight="1" x14ac:dyDescent="0.25">
      <c r="A21" s="19" t="s">
        <v>262</v>
      </c>
      <c r="B21" s="20"/>
      <c r="C21" s="20"/>
      <c r="D21" s="20"/>
      <c r="E21" s="20"/>
      <c r="F21" s="1"/>
      <c r="G21" s="1"/>
      <c r="H21" s="88"/>
    </row>
    <row r="22" spans="1:10" ht="30" customHeight="1" thickBot="1" x14ac:dyDescent="0.3">
      <c r="A22" s="22"/>
      <c r="B22" s="23"/>
      <c r="C22" s="23"/>
      <c r="D22" s="23"/>
      <c r="E22" s="20"/>
    </row>
    <row r="23" spans="1:10" s="12" customFormat="1" ht="37.5" customHeight="1" thickBot="1" x14ac:dyDescent="0.3">
      <c r="A23" s="223" t="s">
        <v>4</v>
      </c>
      <c r="B23" s="225"/>
      <c r="C23" s="24" t="s">
        <v>5</v>
      </c>
      <c r="D23" s="24" t="s">
        <v>6</v>
      </c>
      <c r="E23" s="255" t="s">
        <v>87</v>
      </c>
      <c r="F23" s="256"/>
      <c r="G23" s="106"/>
      <c r="H23" s="88"/>
    </row>
    <row r="24" spans="1:10" s="12" customFormat="1" ht="84.75" customHeight="1" thickBot="1" x14ac:dyDescent="0.3">
      <c r="A24" s="257" t="s">
        <v>80</v>
      </c>
      <c r="B24" s="258"/>
      <c r="C24" s="261" t="s">
        <v>82</v>
      </c>
      <c r="D24" s="263" t="s">
        <v>81</v>
      </c>
      <c r="E24" s="193">
        <v>960000</v>
      </c>
      <c r="F24" s="194"/>
      <c r="G24" s="111"/>
      <c r="H24" s="88"/>
    </row>
    <row r="25" spans="1:10" s="109" customFormat="1" ht="84.75" customHeight="1" thickBot="1" x14ac:dyDescent="0.3">
      <c r="A25" s="259"/>
      <c r="B25" s="260"/>
      <c r="C25" s="262"/>
      <c r="D25" s="264"/>
      <c r="E25" s="193">
        <v>192000</v>
      </c>
      <c r="F25" s="194"/>
      <c r="G25" s="111"/>
      <c r="H25" s="88"/>
    </row>
    <row r="26" spans="1:10" s="109" customFormat="1" ht="168.75" customHeight="1" thickBot="1" x14ac:dyDescent="0.3">
      <c r="A26" s="189" t="s">
        <v>83</v>
      </c>
      <c r="B26" s="190"/>
      <c r="C26" s="110" t="s">
        <v>84</v>
      </c>
      <c r="D26" s="107" t="s">
        <v>81</v>
      </c>
      <c r="E26" s="193">
        <v>480000</v>
      </c>
      <c r="F26" s="194"/>
      <c r="G26" s="111"/>
      <c r="H26" s="88"/>
    </row>
    <row r="27" spans="1:10" s="109" customFormat="1" ht="177" customHeight="1" thickBot="1" x14ac:dyDescent="0.3">
      <c r="A27" s="189" t="s">
        <v>85</v>
      </c>
      <c r="B27" s="190"/>
      <c r="C27" s="110" t="s">
        <v>86</v>
      </c>
      <c r="D27" s="107" t="s">
        <v>81</v>
      </c>
      <c r="E27" s="193">
        <v>240000</v>
      </c>
      <c r="F27" s="194"/>
      <c r="G27" s="111"/>
      <c r="H27" s="88"/>
    </row>
    <row r="28" spans="1:10" s="109" customFormat="1" ht="183.75" customHeight="1" thickBot="1" x14ac:dyDescent="0.3">
      <c r="A28" s="189" t="s">
        <v>88</v>
      </c>
      <c r="B28" s="190"/>
      <c r="C28" s="110" t="s">
        <v>89</v>
      </c>
      <c r="D28" s="107" t="s">
        <v>81</v>
      </c>
      <c r="E28" s="193">
        <v>240000</v>
      </c>
      <c r="F28" s="194"/>
      <c r="G28" s="111"/>
      <c r="H28" s="88"/>
    </row>
    <row r="29" spans="1:10" s="109" customFormat="1" ht="182.25" customHeight="1" thickBot="1" x14ac:dyDescent="0.3">
      <c r="A29" s="189" t="s">
        <v>91</v>
      </c>
      <c r="B29" s="190"/>
      <c r="C29" s="110" t="s">
        <v>90</v>
      </c>
      <c r="D29" s="107" t="s">
        <v>81</v>
      </c>
      <c r="E29" s="193">
        <v>240000</v>
      </c>
      <c r="F29" s="194"/>
      <c r="G29" s="111"/>
      <c r="H29" s="88"/>
    </row>
    <row r="30" spans="1:10" s="12" customFormat="1" ht="60" customHeight="1" thickBot="1" x14ac:dyDescent="0.3">
      <c r="A30" s="223" t="s">
        <v>8</v>
      </c>
      <c r="B30" s="224"/>
      <c r="C30" s="224"/>
      <c r="D30" s="224"/>
      <c r="E30" s="224"/>
      <c r="F30" s="225"/>
      <c r="G30" s="112"/>
      <c r="H30" s="7"/>
    </row>
    <row r="31" spans="1:10" s="12" customFormat="1" ht="101.25" customHeight="1" thickBot="1" x14ac:dyDescent="0.3">
      <c r="A31" s="30" t="s">
        <v>236</v>
      </c>
      <c r="B31" s="30" t="s">
        <v>9</v>
      </c>
      <c r="C31" s="24" t="s">
        <v>10</v>
      </c>
      <c r="D31" s="30" t="s">
        <v>11</v>
      </c>
      <c r="E31" s="241" t="s">
        <v>12</v>
      </c>
      <c r="F31" s="241"/>
      <c r="G31" s="113"/>
      <c r="H31" s="88"/>
    </row>
    <row r="32" spans="1:10" s="12" customFormat="1" thickBot="1" x14ac:dyDescent="0.3">
      <c r="A32" s="197" t="s">
        <v>79</v>
      </c>
      <c r="B32" s="213">
        <v>2352000</v>
      </c>
      <c r="C32" s="252">
        <v>44713</v>
      </c>
      <c r="D32" s="124" t="s">
        <v>182</v>
      </c>
      <c r="E32" s="195">
        <f>B32</f>
        <v>2352000</v>
      </c>
      <c r="F32" s="196"/>
      <c r="G32" s="115"/>
      <c r="H32" s="64">
        <v>480000</v>
      </c>
      <c r="I32" s="12" t="s">
        <v>216</v>
      </c>
    </row>
    <row r="33" spans="1:9" s="12" customFormat="1" thickBot="1" x14ac:dyDescent="0.3">
      <c r="A33" s="198"/>
      <c r="B33" s="214"/>
      <c r="C33" s="253"/>
      <c r="D33" s="124" t="s">
        <v>183</v>
      </c>
      <c r="E33" s="205"/>
      <c r="F33" s="206"/>
      <c r="G33" s="115"/>
      <c r="H33" s="64">
        <v>960000</v>
      </c>
      <c r="I33" s="12" t="s">
        <v>217</v>
      </c>
    </row>
    <row r="34" spans="1:9" s="12" customFormat="1" thickBot="1" x14ac:dyDescent="0.3">
      <c r="A34" s="198"/>
      <c r="B34" s="214"/>
      <c r="C34" s="253"/>
      <c r="D34" s="124" t="s">
        <v>184</v>
      </c>
      <c r="E34" s="205"/>
      <c r="F34" s="206"/>
      <c r="G34" s="115" t="s">
        <v>235</v>
      </c>
      <c r="H34" s="64">
        <v>192000</v>
      </c>
      <c r="I34" s="12" t="s">
        <v>217</v>
      </c>
    </row>
    <row r="35" spans="1:9" s="12" customFormat="1" thickBot="1" x14ac:dyDescent="0.3">
      <c r="A35" s="198"/>
      <c r="B35" s="214"/>
      <c r="C35" s="253"/>
      <c r="D35" s="124" t="s">
        <v>185</v>
      </c>
      <c r="E35" s="205"/>
      <c r="F35" s="206"/>
      <c r="G35" s="115"/>
      <c r="H35" s="64">
        <v>240000</v>
      </c>
      <c r="I35" s="12" t="s">
        <v>218</v>
      </c>
    </row>
    <row r="36" spans="1:9" s="12" customFormat="1" thickBot="1" x14ac:dyDescent="0.3">
      <c r="A36" s="198"/>
      <c r="B36" s="214"/>
      <c r="C36" s="253"/>
      <c r="D36" s="124" t="s">
        <v>186</v>
      </c>
      <c r="E36" s="205"/>
      <c r="F36" s="206"/>
      <c r="G36" s="115"/>
      <c r="H36" s="64">
        <v>240000</v>
      </c>
      <c r="I36" s="12" t="s">
        <v>219</v>
      </c>
    </row>
    <row r="37" spans="1:9" s="12" customFormat="1" thickBot="1" x14ac:dyDescent="0.3">
      <c r="A37" s="199"/>
      <c r="B37" s="215"/>
      <c r="C37" s="254"/>
      <c r="D37" s="114" t="s">
        <v>187</v>
      </c>
      <c r="E37" s="210"/>
      <c r="F37" s="211"/>
      <c r="G37" s="115"/>
      <c r="H37" s="64">
        <v>240000</v>
      </c>
      <c r="I37" s="12" t="s">
        <v>220</v>
      </c>
    </row>
    <row r="38" spans="1:9" s="12" customFormat="1" ht="38.1" customHeight="1" thickBot="1" x14ac:dyDescent="0.3">
      <c r="A38" s="234" t="s">
        <v>237</v>
      </c>
      <c r="B38" s="234"/>
      <c r="C38" s="234"/>
      <c r="D38" s="234"/>
      <c r="E38" s="229">
        <f>1069314.77</f>
        <v>1069314.77</v>
      </c>
      <c r="F38" s="230"/>
      <c r="G38" s="116"/>
      <c r="H38" s="98"/>
      <c r="I38" s="99"/>
    </row>
    <row r="39" spans="1:9" s="12" customFormat="1" ht="37.5" customHeight="1" thickBot="1" x14ac:dyDescent="0.3">
      <c r="A39" s="234" t="s">
        <v>238</v>
      </c>
      <c r="B39" s="234"/>
      <c r="C39" s="234"/>
      <c r="D39" s="234"/>
      <c r="E39" s="235">
        <f>SUM(E32:F37)</f>
        <v>2352000</v>
      </c>
      <c r="F39" s="235"/>
      <c r="G39" s="115"/>
      <c r="H39" s="100"/>
    </row>
    <row r="40" spans="1:9" s="12" customFormat="1" ht="37.5" customHeight="1" thickBot="1" x14ac:dyDescent="0.3">
      <c r="A40" s="226" t="s">
        <v>13</v>
      </c>
      <c r="B40" s="227"/>
      <c r="C40" s="227"/>
      <c r="D40" s="228"/>
      <c r="E40" s="235">
        <v>39439.269999999997</v>
      </c>
      <c r="F40" s="235"/>
      <c r="G40" s="115"/>
      <c r="H40" s="100"/>
    </row>
    <row r="41" spans="1:9" s="12" customFormat="1" ht="38.1" customHeight="1" thickBot="1" x14ac:dyDescent="0.3">
      <c r="A41" s="234" t="s">
        <v>14</v>
      </c>
      <c r="B41" s="234"/>
      <c r="C41" s="234"/>
      <c r="D41" s="234"/>
      <c r="E41" s="235">
        <v>0</v>
      </c>
      <c r="F41" s="235"/>
      <c r="G41" s="115"/>
      <c r="H41" s="88"/>
    </row>
    <row r="42" spans="1:9" s="12" customFormat="1" ht="38.1" customHeight="1" thickBot="1" x14ac:dyDescent="0.3">
      <c r="A42" s="234" t="s">
        <v>15</v>
      </c>
      <c r="B42" s="234"/>
      <c r="C42" s="234"/>
      <c r="D42" s="234"/>
      <c r="E42" s="238">
        <f>SUM(E38:F41)</f>
        <v>3460754.04</v>
      </c>
      <c r="F42" s="238"/>
      <c r="G42" s="117"/>
      <c r="H42" s="88"/>
    </row>
    <row r="43" spans="1:9" s="12" customFormat="1" ht="38.1" customHeight="1" thickBot="1" x14ac:dyDescent="0.3">
      <c r="A43" s="239"/>
      <c r="B43" s="239"/>
      <c r="C43" s="239"/>
      <c r="D43" s="239"/>
      <c r="E43" s="239"/>
      <c r="F43" s="239"/>
      <c r="G43" s="118"/>
      <c r="H43" s="88"/>
    </row>
    <row r="44" spans="1:9" s="12" customFormat="1" ht="38.1" customHeight="1" thickBot="1" x14ac:dyDescent="0.3">
      <c r="A44" s="234" t="s">
        <v>16</v>
      </c>
      <c r="B44" s="234"/>
      <c r="C44" s="234"/>
      <c r="D44" s="234"/>
      <c r="E44" s="235">
        <v>0</v>
      </c>
      <c r="F44" s="235"/>
      <c r="G44" s="115"/>
      <c r="H44" s="88"/>
    </row>
    <row r="45" spans="1:9" s="12" customFormat="1" ht="38.1" customHeight="1" thickBot="1" x14ac:dyDescent="0.3">
      <c r="A45" s="234" t="s">
        <v>17</v>
      </c>
      <c r="B45" s="234"/>
      <c r="C45" s="234"/>
      <c r="D45" s="234"/>
      <c r="E45" s="240">
        <f>E42+E44</f>
        <v>3460754.04</v>
      </c>
      <c r="F45" s="240"/>
      <c r="G45" s="119"/>
      <c r="H45" s="88"/>
    </row>
    <row r="46" spans="1:9" ht="30" customHeight="1" x14ac:dyDescent="0.25">
      <c r="A46" s="36" t="s">
        <v>18</v>
      </c>
      <c r="B46" s="37"/>
      <c r="C46" s="37"/>
      <c r="D46" s="37"/>
      <c r="E46" s="38"/>
    </row>
    <row r="47" spans="1:9" ht="30" customHeight="1" x14ac:dyDescent="0.25">
      <c r="A47" s="36" t="s">
        <v>19</v>
      </c>
      <c r="B47" s="37"/>
      <c r="C47" s="37"/>
      <c r="D47" s="39"/>
    </row>
    <row r="48" spans="1:9" ht="30" customHeight="1" x14ac:dyDescent="0.25">
      <c r="A48" s="217" t="s">
        <v>239</v>
      </c>
      <c r="B48" s="217"/>
      <c r="C48" s="217"/>
      <c r="D48" s="101"/>
    </row>
    <row r="49" spans="1:7" ht="30" customHeight="1" x14ac:dyDescent="0.25">
      <c r="A49" s="40"/>
      <c r="B49" s="39"/>
      <c r="C49" s="39"/>
      <c r="D49" s="39"/>
      <c r="F49" s="12"/>
      <c r="G49" s="12"/>
    </row>
    <row r="50" spans="1:7" ht="30" customHeight="1" x14ac:dyDescent="0.25">
      <c r="A50" s="41"/>
      <c r="B50" s="41"/>
      <c r="C50" s="41"/>
      <c r="D50" s="41"/>
      <c r="E50" s="41"/>
      <c r="F50" s="41"/>
      <c r="G50" s="41"/>
    </row>
    <row r="51" spans="1:7" ht="30" customHeight="1" x14ac:dyDescent="0.25">
      <c r="A51" s="41"/>
      <c r="B51" s="41"/>
      <c r="C51" s="41"/>
      <c r="D51" s="41"/>
      <c r="E51" s="41"/>
      <c r="F51" s="41"/>
      <c r="G51" s="41"/>
    </row>
    <row r="52" spans="1:7" ht="30" customHeight="1" x14ac:dyDescent="0.25">
      <c r="A52" s="41"/>
      <c r="B52" s="41"/>
      <c r="C52" s="41"/>
      <c r="D52" s="41"/>
      <c r="E52" s="41"/>
      <c r="F52" s="41"/>
      <c r="G52" s="41"/>
    </row>
    <row r="53" spans="1:7" ht="30" customHeight="1" x14ac:dyDescent="0.25">
      <c r="A53" s="41"/>
      <c r="B53" s="41"/>
      <c r="C53" s="41"/>
      <c r="D53" s="41"/>
      <c r="E53" s="41"/>
      <c r="F53" s="41"/>
      <c r="G53" s="41"/>
    </row>
    <row r="54" spans="1:7" ht="30" customHeight="1" x14ac:dyDescent="0.25">
      <c r="A54" s="41"/>
      <c r="B54" s="41"/>
      <c r="C54" s="41"/>
      <c r="D54" s="41"/>
      <c r="E54" s="41"/>
      <c r="F54" s="41"/>
      <c r="G54" s="41"/>
    </row>
    <row r="55" spans="1:7" ht="30" customHeight="1" x14ac:dyDescent="0.25">
      <c r="A55" s="41"/>
      <c r="B55" s="41"/>
      <c r="C55" s="41"/>
      <c r="D55" s="41"/>
      <c r="E55" s="41"/>
      <c r="F55" s="41"/>
      <c r="G55" s="41"/>
    </row>
    <row r="56" spans="1:7" ht="30" customHeight="1" x14ac:dyDescent="0.25">
      <c r="A56" s="41"/>
      <c r="B56" s="41"/>
      <c r="C56" s="41"/>
      <c r="D56" s="41"/>
      <c r="E56" s="41"/>
      <c r="F56" s="41"/>
      <c r="G56" s="41"/>
    </row>
    <row r="57" spans="1:7" ht="30" customHeight="1" x14ac:dyDescent="0.25">
      <c r="A57" s="41"/>
      <c r="B57" s="41"/>
      <c r="C57" s="41"/>
      <c r="D57" s="41"/>
      <c r="E57" s="41"/>
      <c r="F57" s="41"/>
      <c r="G57" s="41"/>
    </row>
    <row r="58" spans="1:7" ht="30" customHeight="1" x14ac:dyDescent="0.25">
      <c r="A58" s="41"/>
      <c r="B58" s="41"/>
      <c r="C58" s="41"/>
      <c r="D58" s="41"/>
      <c r="E58" s="41"/>
      <c r="F58" s="41"/>
      <c r="G58" s="41"/>
    </row>
    <row r="59" spans="1:7" ht="30" customHeight="1" x14ac:dyDescent="0.25">
      <c r="A59" s="41"/>
      <c r="B59" s="41"/>
      <c r="C59" s="41"/>
      <c r="D59" s="41"/>
      <c r="E59" s="41"/>
      <c r="F59" s="41"/>
      <c r="G59" s="41"/>
    </row>
    <row r="60" spans="1:7" ht="30" customHeight="1" x14ac:dyDescent="0.25">
      <c r="A60" s="41"/>
      <c r="B60" s="41"/>
      <c r="C60" s="41"/>
      <c r="D60" s="41"/>
      <c r="E60" s="41"/>
      <c r="F60" s="41"/>
      <c r="G60" s="41"/>
    </row>
    <row r="61" spans="1:7" ht="30" customHeight="1" x14ac:dyDescent="0.25">
      <c r="A61" s="41"/>
      <c r="B61" s="41"/>
      <c r="C61" s="41"/>
      <c r="D61" s="41"/>
      <c r="E61" s="41"/>
      <c r="F61" s="41"/>
      <c r="G61" s="41"/>
    </row>
    <row r="62" spans="1:7" ht="30" customHeight="1" x14ac:dyDescent="0.25">
      <c r="A62" s="41"/>
      <c r="B62" s="41"/>
      <c r="C62" s="41"/>
      <c r="D62" s="41"/>
      <c r="E62" s="41"/>
      <c r="F62" s="41"/>
      <c r="G62" s="41"/>
    </row>
    <row r="63" spans="1:7" ht="30" customHeight="1" x14ac:dyDescent="0.25">
      <c r="A63" s="218" t="s">
        <v>240</v>
      </c>
      <c r="B63" s="218"/>
      <c r="C63" s="218"/>
      <c r="D63" s="218"/>
      <c r="E63" s="218"/>
      <c r="F63" s="218"/>
      <c r="G63" s="41"/>
    </row>
    <row r="64" spans="1:7" ht="30" customHeight="1" x14ac:dyDescent="0.25">
      <c r="A64" s="218"/>
      <c r="B64" s="218"/>
      <c r="C64" s="218"/>
      <c r="D64" s="218"/>
      <c r="E64" s="218"/>
      <c r="F64" s="218"/>
      <c r="G64" s="41"/>
    </row>
    <row r="65" spans="1:8" ht="30" customHeight="1" x14ac:dyDescent="0.25">
      <c r="A65" s="41"/>
      <c r="B65" s="41"/>
      <c r="C65" s="41"/>
      <c r="D65" s="41"/>
      <c r="E65" s="41"/>
      <c r="F65" s="41"/>
      <c r="G65" s="41"/>
    </row>
    <row r="66" spans="1:8" ht="30" customHeight="1" x14ac:dyDescent="0.25">
      <c r="A66" s="41"/>
      <c r="B66" s="41"/>
      <c r="C66" s="41"/>
      <c r="D66" s="41"/>
      <c r="E66" s="41"/>
      <c r="F66" s="41"/>
      <c r="G66" s="41"/>
    </row>
    <row r="67" spans="1:8" ht="30" customHeight="1" x14ac:dyDescent="0.25">
      <c r="A67" s="41"/>
      <c r="B67" s="41"/>
      <c r="C67" s="41"/>
      <c r="D67" s="41"/>
      <c r="E67" s="41"/>
      <c r="F67" s="41"/>
      <c r="G67" s="41"/>
    </row>
    <row r="68" spans="1:8" ht="30" customHeight="1" thickBot="1" x14ac:dyDescent="0.3">
      <c r="A68" s="41"/>
      <c r="B68" s="41"/>
      <c r="C68" s="41"/>
      <c r="D68" s="41"/>
      <c r="E68" s="41"/>
      <c r="F68" s="41"/>
      <c r="G68" s="41"/>
    </row>
    <row r="69" spans="1:8" s="12" customFormat="1" ht="37.5" customHeight="1" thickBot="1" x14ac:dyDescent="0.3">
      <c r="A69" s="219" t="s">
        <v>20</v>
      </c>
      <c r="B69" s="220"/>
      <c r="C69" s="220"/>
      <c r="D69" s="220"/>
      <c r="E69" s="220"/>
      <c r="F69" s="221"/>
      <c r="G69" s="112"/>
      <c r="H69" s="88"/>
    </row>
    <row r="70" spans="1:8" s="12" customFormat="1" ht="37.5" customHeight="1" thickBot="1" x14ac:dyDescent="0.3">
      <c r="A70" s="42" t="s">
        <v>78</v>
      </c>
      <c r="B70" s="43"/>
      <c r="C70" s="43"/>
      <c r="D70" s="43"/>
      <c r="E70" s="43"/>
      <c r="F70" s="3"/>
      <c r="G70" s="5"/>
      <c r="H70" s="88"/>
    </row>
    <row r="71" spans="1:8" s="12" customFormat="1" ht="33" customHeight="1" x14ac:dyDescent="0.25">
      <c r="A71" s="44"/>
      <c r="B71" s="45"/>
      <c r="C71" s="46" t="s">
        <v>21</v>
      </c>
      <c r="D71" s="46" t="s">
        <v>21</v>
      </c>
      <c r="E71" s="46" t="s">
        <v>22</v>
      </c>
      <c r="F71" s="46" t="s">
        <v>21</v>
      </c>
      <c r="G71" s="112"/>
      <c r="H71" s="88"/>
    </row>
    <row r="72" spans="1:8" s="12" customFormat="1" ht="33" customHeight="1" x14ac:dyDescent="0.25">
      <c r="A72" s="46" t="s">
        <v>23</v>
      </c>
      <c r="B72" s="47" t="s">
        <v>21</v>
      </c>
      <c r="C72" s="46" t="s">
        <v>24</v>
      </c>
      <c r="D72" s="46" t="s">
        <v>24</v>
      </c>
      <c r="E72" s="46" t="s">
        <v>21</v>
      </c>
      <c r="F72" s="46" t="s">
        <v>24</v>
      </c>
      <c r="G72" s="112"/>
      <c r="H72" s="88"/>
    </row>
    <row r="73" spans="1:8" s="12" customFormat="1" ht="33" customHeight="1" x14ac:dyDescent="0.25">
      <c r="A73" s="46" t="s">
        <v>25</v>
      </c>
      <c r="B73" s="47" t="s">
        <v>24</v>
      </c>
      <c r="C73" s="46" t="s">
        <v>26</v>
      </c>
      <c r="D73" s="46" t="s">
        <v>27</v>
      </c>
      <c r="E73" s="46" t="s">
        <v>28</v>
      </c>
      <c r="F73" s="46" t="s">
        <v>29</v>
      </c>
      <c r="G73" s="112"/>
      <c r="H73" s="88"/>
    </row>
    <row r="74" spans="1:8" s="12" customFormat="1" ht="33" customHeight="1" x14ac:dyDescent="0.25">
      <c r="A74" s="46" t="s">
        <v>30</v>
      </c>
      <c r="B74" s="47" t="s">
        <v>31</v>
      </c>
      <c r="C74" s="46" t="s">
        <v>32</v>
      </c>
      <c r="D74" s="46" t="s">
        <v>33</v>
      </c>
      <c r="E74" s="46" t="s">
        <v>31</v>
      </c>
      <c r="F74" s="46" t="s">
        <v>34</v>
      </c>
      <c r="G74" s="112"/>
      <c r="H74" s="88"/>
    </row>
    <row r="75" spans="1:8" s="12" customFormat="1" ht="33" customHeight="1" x14ac:dyDescent="0.25">
      <c r="A75" s="44"/>
      <c r="B75" s="47" t="s">
        <v>35</v>
      </c>
      <c r="C75" s="46" t="s">
        <v>36</v>
      </c>
      <c r="D75" s="46" t="s">
        <v>35</v>
      </c>
      <c r="E75" s="46" t="s">
        <v>37</v>
      </c>
      <c r="F75" s="46" t="s">
        <v>38</v>
      </c>
      <c r="G75" s="112"/>
      <c r="H75" s="88"/>
    </row>
    <row r="76" spans="1:8" s="12" customFormat="1" ht="33" customHeight="1" x14ac:dyDescent="0.25">
      <c r="A76" s="44"/>
      <c r="B76" s="48"/>
      <c r="C76" s="46" t="s">
        <v>35</v>
      </c>
      <c r="D76" s="46" t="s">
        <v>39</v>
      </c>
      <c r="E76" s="46" t="s">
        <v>40</v>
      </c>
      <c r="F76" s="46" t="s">
        <v>41</v>
      </c>
      <c r="G76" s="112"/>
      <c r="H76" s="88"/>
    </row>
    <row r="77" spans="1:8" s="12" customFormat="1" ht="33" customHeight="1" thickBot="1" x14ac:dyDescent="0.3">
      <c r="A77" s="49"/>
      <c r="B77" s="50"/>
      <c r="C77" s="51" t="s">
        <v>42</v>
      </c>
      <c r="D77" s="52"/>
      <c r="E77" s="53" t="s">
        <v>43</v>
      </c>
      <c r="F77" s="52"/>
      <c r="G77" s="120"/>
      <c r="H77" s="88"/>
    </row>
    <row r="78" spans="1:8" s="12" customFormat="1" ht="47.25" customHeight="1" thickBot="1" x14ac:dyDescent="0.3">
      <c r="A78" s="54" t="s">
        <v>44</v>
      </c>
      <c r="B78" s="55">
        <f t="shared" ref="B78:B93" si="0">D78+F78</f>
        <v>126265.61</v>
      </c>
      <c r="C78" s="56">
        <f>216769.3</f>
        <v>216769.3</v>
      </c>
      <c r="D78" s="56">
        <f>126265.61</f>
        <v>126265.61</v>
      </c>
      <c r="E78" s="56">
        <f t="shared" ref="E78:E93" si="1">C78+D78</f>
        <v>343034.91</v>
      </c>
      <c r="F78" s="57">
        <v>0</v>
      </c>
      <c r="G78" s="121"/>
      <c r="H78" s="88"/>
    </row>
    <row r="79" spans="1:8" s="12" customFormat="1" ht="47.25" customHeight="1" thickBot="1" x14ac:dyDescent="0.3">
      <c r="A79" s="54" t="s">
        <v>45</v>
      </c>
      <c r="B79" s="55">
        <f t="shared" si="0"/>
        <v>0</v>
      </c>
      <c r="C79" s="56">
        <v>0</v>
      </c>
      <c r="D79" s="56">
        <v>0</v>
      </c>
      <c r="E79" s="56">
        <f t="shared" si="1"/>
        <v>0</v>
      </c>
      <c r="F79" s="57">
        <v>0</v>
      </c>
      <c r="G79" s="121"/>
      <c r="H79" s="88"/>
    </row>
    <row r="80" spans="1:8" s="12" customFormat="1" ht="47.25" customHeight="1" thickBot="1" x14ac:dyDescent="0.3">
      <c r="A80" s="54" t="s">
        <v>46</v>
      </c>
      <c r="B80" s="55">
        <f t="shared" si="0"/>
        <v>1686493.81</v>
      </c>
      <c r="C80" s="56">
        <v>0</v>
      </c>
      <c r="D80" s="56">
        <f>208587.26+100073.54+51470+7435.2+906165.46+322149.06+90613.29</f>
        <v>1686493.81</v>
      </c>
      <c r="E80" s="56">
        <f t="shared" si="1"/>
        <v>1686493.81</v>
      </c>
      <c r="F80" s="57">
        <v>0</v>
      </c>
      <c r="G80" s="121"/>
      <c r="H80" s="88"/>
    </row>
    <row r="81" spans="1:8" s="12" customFormat="1" ht="53.25" customHeight="1" thickBot="1" x14ac:dyDescent="0.3">
      <c r="A81" s="58" t="s">
        <v>47</v>
      </c>
      <c r="B81" s="55">
        <f t="shared" si="0"/>
        <v>1222921.3299999998</v>
      </c>
      <c r="C81" s="56">
        <v>0</v>
      </c>
      <c r="D81" s="56">
        <f>124342.22+62900+31756+515.09+6564.24+684071.11+228300.5+44742.68+6230.63+33498.86</f>
        <v>1222921.3299999998</v>
      </c>
      <c r="E81" s="56">
        <f t="shared" si="1"/>
        <v>1222921.3299999998</v>
      </c>
      <c r="F81" s="57">
        <v>0</v>
      </c>
      <c r="G81" s="121"/>
      <c r="H81" s="88"/>
    </row>
    <row r="82" spans="1:8" s="12" customFormat="1" ht="47.25" customHeight="1" thickBot="1" x14ac:dyDescent="0.3">
      <c r="A82" s="54" t="s">
        <v>48</v>
      </c>
      <c r="B82" s="55">
        <f t="shared" si="0"/>
        <v>0</v>
      </c>
      <c r="C82" s="56">
        <v>0</v>
      </c>
      <c r="D82" s="56">
        <v>0</v>
      </c>
      <c r="E82" s="56">
        <f t="shared" si="1"/>
        <v>0</v>
      </c>
      <c r="F82" s="57">
        <v>0</v>
      </c>
      <c r="G82" s="121"/>
      <c r="H82" s="88"/>
    </row>
    <row r="83" spans="1:8" s="12" customFormat="1" ht="54" customHeight="1" thickBot="1" x14ac:dyDescent="0.3">
      <c r="A83" s="58" t="s">
        <v>49</v>
      </c>
      <c r="B83" s="55">
        <f t="shared" si="0"/>
        <v>44075.82</v>
      </c>
      <c r="C83" s="56">
        <v>0</v>
      </c>
      <c r="D83" s="56">
        <f>44075.82</f>
        <v>44075.82</v>
      </c>
      <c r="E83" s="56">
        <f t="shared" si="1"/>
        <v>44075.82</v>
      </c>
      <c r="F83" s="57">
        <v>0</v>
      </c>
      <c r="G83" s="121"/>
      <c r="H83" s="88"/>
    </row>
    <row r="84" spans="1:8" s="12" customFormat="1" ht="47.25" customHeight="1" thickBot="1" x14ac:dyDescent="0.3">
      <c r="A84" s="54" t="s">
        <v>50</v>
      </c>
      <c r="B84" s="55">
        <f t="shared" si="0"/>
        <v>148317</v>
      </c>
      <c r="C84" s="56">
        <f>4527.87</f>
        <v>4527.87</v>
      </c>
      <c r="D84" s="56">
        <f>136957.6+5659.4+5397.21+302.79</f>
        <v>148317</v>
      </c>
      <c r="E84" s="56">
        <f t="shared" si="1"/>
        <v>152844.87</v>
      </c>
      <c r="F84" s="57">
        <v>0</v>
      </c>
      <c r="G84" s="121"/>
      <c r="H84" s="88"/>
    </row>
    <row r="85" spans="1:8" s="12" customFormat="1" ht="55.5" customHeight="1" thickBot="1" x14ac:dyDescent="0.3">
      <c r="A85" s="58" t="s">
        <v>51</v>
      </c>
      <c r="B85" s="55">
        <f t="shared" si="0"/>
        <v>10820.2</v>
      </c>
      <c r="C85" s="56">
        <v>0</v>
      </c>
      <c r="D85" s="56">
        <f>10820.2</f>
        <v>10820.2</v>
      </c>
      <c r="E85" s="56">
        <f t="shared" si="1"/>
        <v>10820.2</v>
      </c>
      <c r="F85" s="57">
        <v>0</v>
      </c>
      <c r="G85" s="121"/>
      <c r="H85" s="88"/>
    </row>
    <row r="86" spans="1:8" s="12" customFormat="1" ht="47.25" customHeight="1" thickBot="1" x14ac:dyDescent="0.3">
      <c r="A86" s="54" t="s">
        <v>52</v>
      </c>
      <c r="B86" s="55">
        <f t="shared" si="0"/>
        <v>0</v>
      </c>
      <c r="C86" s="56">
        <v>0</v>
      </c>
      <c r="D86" s="56">
        <v>0</v>
      </c>
      <c r="E86" s="56">
        <f t="shared" si="1"/>
        <v>0</v>
      </c>
      <c r="F86" s="57">
        <v>0</v>
      </c>
      <c r="G86" s="121"/>
      <c r="H86" s="91"/>
    </row>
    <row r="87" spans="1:8" s="12" customFormat="1" ht="47.25" customHeight="1" thickBot="1" x14ac:dyDescent="0.3">
      <c r="A87" s="54" t="s">
        <v>53</v>
      </c>
      <c r="B87" s="55">
        <f t="shared" si="0"/>
        <v>0</v>
      </c>
      <c r="C87" s="56">
        <v>0</v>
      </c>
      <c r="D87" s="56">
        <v>0</v>
      </c>
      <c r="E87" s="56">
        <f t="shared" si="1"/>
        <v>0</v>
      </c>
      <c r="F87" s="57">
        <v>0</v>
      </c>
      <c r="G87" s="121"/>
      <c r="H87" s="88"/>
    </row>
    <row r="88" spans="1:8" s="12" customFormat="1" ht="47.25" customHeight="1" thickBot="1" x14ac:dyDescent="0.3">
      <c r="A88" s="54" t="s">
        <v>54</v>
      </c>
      <c r="B88" s="55">
        <f t="shared" si="0"/>
        <v>0</v>
      </c>
      <c r="C88" s="56">
        <v>0</v>
      </c>
      <c r="D88" s="56">
        <v>0</v>
      </c>
      <c r="E88" s="56">
        <f t="shared" si="1"/>
        <v>0</v>
      </c>
      <c r="F88" s="57">
        <v>0</v>
      </c>
      <c r="G88" s="121"/>
      <c r="H88" s="91"/>
    </row>
    <row r="89" spans="1:8" s="12" customFormat="1" ht="47.25" customHeight="1" thickBot="1" x14ac:dyDescent="0.3">
      <c r="A89" s="54" t="s">
        <v>55</v>
      </c>
      <c r="B89" s="55">
        <f t="shared" si="0"/>
        <v>0</v>
      </c>
      <c r="C89" s="56">
        <v>0</v>
      </c>
      <c r="D89" s="56">
        <v>0</v>
      </c>
      <c r="E89" s="56">
        <f t="shared" si="1"/>
        <v>0</v>
      </c>
      <c r="F89" s="57">
        <v>0</v>
      </c>
      <c r="G89" s="121"/>
      <c r="H89" s="88"/>
    </row>
    <row r="90" spans="1:8" s="12" customFormat="1" ht="54" customHeight="1" thickBot="1" x14ac:dyDescent="0.3">
      <c r="A90" s="58" t="s">
        <v>56</v>
      </c>
      <c r="B90" s="55">
        <f t="shared" si="0"/>
        <v>0</v>
      </c>
      <c r="C90" s="56">
        <v>0</v>
      </c>
      <c r="D90" s="56">
        <v>0</v>
      </c>
      <c r="E90" s="56">
        <f t="shared" si="1"/>
        <v>0</v>
      </c>
      <c r="F90" s="57">
        <v>0</v>
      </c>
      <c r="G90" s="121"/>
      <c r="H90" s="88"/>
    </row>
    <row r="91" spans="1:8" s="12" customFormat="1" ht="47.25" customHeight="1" thickBot="1" x14ac:dyDescent="0.3">
      <c r="A91" s="54" t="s">
        <v>57</v>
      </c>
      <c r="B91" s="55">
        <f t="shared" si="0"/>
        <v>0</v>
      </c>
      <c r="C91" s="56">
        <v>0</v>
      </c>
      <c r="D91" s="56">
        <v>0</v>
      </c>
      <c r="E91" s="56">
        <f t="shared" si="1"/>
        <v>0</v>
      </c>
      <c r="F91" s="57">
        <v>0</v>
      </c>
      <c r="G91" s="121"/>
      <c r="H91" s="88"/>
    </row>
    <row r="92" spans="1:8" s="12" customFormat="1" ht="55.5" customHeight="1" thickBot="1" x14ac:dyDescent="0.3">
      <c r="A92" s="58" t="s">
        <v>58</v>
      </c>
      <c r="B92" s="55">
        <f t="shared" si="0"/>
        <v>188.1</v>
      </c>
      <c r="C92" s="56">
        <v>0</v>
      </c>
      <c r="D92" s="56">
        <f>156.75+31.35</f>
        <v>188.1</v>
      </c>
      <c r="E92" s="56">
        <f t="shared" si="1"/>
        <v>188.1</v>
      </c>
      <c r="F92" s="57">
        <v>0</v>
      </c>
      <c r="G92" s="121"/>
      <c r="H92" s="88"/>
    </row>
    <row r="93" spans="1:8" s="12" customFormat="1" ht="47.25" customHeight="1" thickBot="1" x14ac:dyDescent="0.3">
      <c r="A93" s="54" t="s">
        <v>59</v>
      </c>
      <c r="B93" s="55">
        <f t="shared" si="0"/>
        <v>375</v>
      </c>
      <c r="C93" s="56">
        <v>0</v>
      </c>
      <c r="D93" s="56">
        <f>375</f>
        <v>375</v>
      </c>
      <c r="E93" s="56">
        <f t="shared" si="1"/>
        <v>375</v>
      </c>
      <c r="F93" s="57">
        <v>0</v>
      </c>
      <c r="G93" s="121"/>
      <c r="H93" s="88"/>
    </row>
    <row r="94" spans="1:8" s="12" customFormat="1" ht="47.25" customHeight="1" thickBot="1" x14ac:dyDescent="0.3">
      <c r="A94" s="61" t="s">
        <v>0</v>
      </c>
      <c r="B94" s="62">
        <f>SUM(B78:B93)</f>
        <v>3239456.87</v>
      </c>
      <c r="C94" s="62">
        <f>SUM(C78:C93)</f>
        <v>221297.16999999998</v>
      </c>
      <c r="D94" s="62">
        <f>SUM(D78:D93)</f>
        <v>3239456.87</v>
      </c>
      <c r="E94" s="62">
        <f>SUM(E78:E93)</f>
        <v>3460754.04</v>
      </c>
      <c r="F94" s="62">
        <f>SUM(F78:F93)</f>
        <v>0</v>
      </c>
      <c r="G94" s="122"/>
      <c r="H94" s="88"/>
    </row>
    <row r="95" spans="1:8" ht="30" customHeight="1" x14ac:dyDescent="0.25">
      <c r="A95" s="36" t="s">
        <v>60</v>
      </c>
      <c r="B95" s="37"/>
      <c r="C95" s="37"/>
      <c r="D95" s="37"/>
      <c r="E95" s="63"/>
    </row>
    <row r="96" spans="1:8" ht="30" customHeight="1" x14ac:dyDescent="0.25">
      <c r="A96" s="36" t="s">
        <v>61</v>
      </c>
      <c r="B96" s="37"/>
      <c r="C96" s="65"/>
      <c r="D96" s="66"/>
      <c r="E96" s="8"/>
    </row>
    <row r="97" spans="1:255" ht="30" customHeight="1" x14ac:dyDescent="0.25">
      <c r="A97" s="36" t="s">
        <v>62</v>
      </c>
      <c r="B97" s="37"/>
      <c r="C97" s="65"/>
      <c r="D97" s="68"/>
      <c r="E97" s="67"/>
    </row>
    <row r="98" spans="1:255" ht="30" customHeight="1" x14ac:dyDescent="0.25">
      <c r="A98" s="36" t="s">
        <v>63</v>
      </c>
      <c r="B98" s="37"/>
      <c r="C98" s="37"/>
      <c r="D98" s="37"/>
      <c r="E98" s="63"/>
    </row>
    <row r="99" spans="1:255" ht="30" customHeight="1" x14ac:dyDescent="0.25">
      <c r="A99" s="36" t="s">
        <v>64</v>
      </c>
      <c r="B99" s="37"/>
      <c r="C99" s="37"/>
      <c r="D99" s="37"/>
      <c r="E99" s="63"/>
    </row>
    <row r="100" spans="1:255" ht="30" customHeight="1" x14ac:dyDescent="0.25">
      <c r="A100" s="36" t="s">
        <v>65</v>
      </c>
      <c r="B100" s="37"/>
      <c r="C100" s="37"/>
      <c r="D100" s="37"/>
      <c r="E100" s="63"/>
    </row>
    <row r="101" spans="1:255" ht="30" customHeight="1" x14ac:dyDescent="0.25">
      <c r="A101" s="69" t="s">
        <v>66</v>
      </c>
      <c r="B101" s="69"/>
      <c r="C101" s="69"/>
      <c r="D101" s="70"/>
      <c r="E101" s="71"/>
      <c r="F101" s="12"/>
      <c r="G101" s="12"/>
    </row>
    <row r="102" spans="1:255" ht="30" customHeight="1" x14ac:dyDescent="0.25">
      <c r="A102" s="69" t="s">
        <v>67</v>
      </c>
      <c r="B102" s="69"/>
      <c r="C102" s="69"/>
      <c r="D102" s="72"/>
      <c r="E102" s="71"/>
      <c r="F102" s="12"/>
      <c r="G102" s="12"/>
    </row>
    <row r="103" spans="1:255" s="88" customFormat="1" ht="30" customHeight="1" x14ac:dyDescent="0.25">
      <c r="A103" s="69" t="s">
        <v>68</v>
      </c>
      <c r="B103" s="69"/>
      <c r="C103" s="69"/>
      <c r="D103" s="69"/>
      <c r="E103" s="71"/>
      <c r="F103" s="12"/>
      <c r="G103" s="12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</row>
    <row r="104" spans="1:255" s="88" customFormat="1" ht="30" customHeight="1" x14ac:dyDescent="0.25">
      <c r="A104" s="69" t="s">
        <v>69</v>
      </c>
      <c r="B104" s="69"/>
      <c r="C104" s="69"/>
      <c r="D104" s="69"/>
      <c r="E104" s="71"/>
      <c r="F104" s="12"/>
      <c r="G104" s="12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</row>
    <row r="105" spans="1:255" s="88" customFormat="1" ht="30" customHeight="1" x14ac:dyDescent="0.25">
      <c r="A105" s="69"/>
      <c r="B105" s="69"/>
      <c r="C105" s="69"/>
      <c r="D105" s="69"/>
      <c r="E105" s="71"/>
      <c r="F105" s="12"/>
      <c r="G105" s="12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</row>
    <row r="106" spans="1:255" s="88" customFormat="1" ht="30" customHeight="1" x14ac:dyDescent="0.25">
      <c r="A106" s="36" t="s">
        <v>70</v>
      </c>
      <c r="B106" s="37"/>
      <c r="C106" s="37"/>
      <c r="D106" s="37"/>
      <c r="E106" s="63"/>
      <c r="F106" s="1"/>
      <c r="G106" s="1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</row>
    <row r="107" spans="1:255" s="88" customFormat="1" ht="30" customHeight="1" x14ac:dyDescent="0.25">
      <c r="A107" s="36"/>
      <c r="B107" s="37"/>
      <c r="C107" s="37"/>
      <c r="D107" s="37"/>
      <c r="E107" s="63"/>
      <c r="F107" s="1"/>
      <c r="G107" s="1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</row>
    <row r="108" spans="1:255" s="88" customFormat="1" ht="30" customHeight="1" x14ac:dyDescent="0.25">
      <c r="A108" s="36"/>
      <c r="B108" s="37"/>
      <c r="C108" s="37"/>
      <c r="D108" s="37"/>
      <c r="E108" s="63"/>
      <c r="F108" s="1"/>
      <c r="G108" s="1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</row>
    <row r="109" spans="1:255" s="88" customFormat="1" ht="30" customHeight="1" x14ac:dyDescent="0.25">
      <c r="A109" s="36"/>
      <c r="B109" s="37"/>
      <c r="C109" s="37"/>
      <c r="D109" s="37"/>
      <c r="E109" s="63"/>
      <c r="F109" s="1"/>
      <c r="G109" s="1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</row>
    <row r="110" spans="1:255" s="88" customFormat="1" ht="30" customHeight="1" x14ac:dyDescent="0.25">
      <c r="A110" s="36"/>
      <c r="B110" s="37"/>
      <c r="C110" s="37"/>
      <c r="D110" s="37"/>
      <c r="E110" s="63"/>
      <c r="F110" s="1"/>
      <c r="G110" s="1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</row>
    <row r="111" spans="1:255" s="88" customFormat="1" ht="30" customHeight="1" x14ac:dyDescent="0.25">
      <c r="A111" s="36"/>
      <c r="B111" s="37"/>
      <c r="C111" s="37"/>
      <c r="D111" s="37"/>
      <c r="E111" s="63"/>
      <c r="F111" s="1"/>
      <c r="G111" s="1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</row>
    <row r="112" spans="1:255" s="88" customFormat="1" ht="30" customHeight="1" x14ac:dyDescent="0.25">
      <c r="A112" s="36"/>
      <c r="B112" s="37"/>
      <c r="C112" s="37"/>
      <c r="D112" s="37"/>
      <c r="E112" s="63"/>
      <c r="F112" s="1"/>
      <c r="G112" s="1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</row>
    <row r="113" spans="1:255" s="88" customFormat="1" ht="30" customHeight="1" x14ac:dyDescent="0.25">
      <c r="A113" s="36"/>
      <c r="B113" s="37"/>
      <c r="C113" s="37"/>
      <c r="D113" s="37"/>
      <c r="E113" s="63"/>
      <c r="F113" s="1"/>
      <c r="G113" s="1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</row>
    <row r="114" spans="1:255" s="88" customFormat="1" ht="30" customHeight="1" x14ac:dyDescent="0.25">
      <c r="A114" s="36"/>
      <c r="B114" s="37"/>
      <c r="C114" s="37"/>
      <c r="D114" s="37"/>
      <c r="E114" s="63"/>
      <c r="F114" s="1"/>
      <c r="G114" s="1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</row>
    <row r="115" spans="1:255" s="88" customFormat="1" ht="30" customHeight="1" x14ac:dyDescent="0.25">
      <c r="A115" s="36"/>
      <c r="B115" s="37"/>
      <c r="C115" s="37"/>
      <c r="D115" s="37"/>
      <c r="E115" s="63"/>
      <c r="F115" s="1"/>
      <c r="G115" s="1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</row>
    <row r="116" spans="1:255" s="88" customFormat="1" ht="30" customHeight="1" x14ac:dyDescent="0.25">
      <c r="A116" s="36"/>
      <c r="B116" s="37"/>
      <c r="C116" s="37"/>
      <c r="D116" s="37"/>
      <c r="E116" s="63"/>
      <c r="F116" s="1"/>
      <c r="G116" s="1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</row>
    <row r="117" spans="1:255" s="88" customFormat="1" ht="30" customHeight="1" x14ac:dyDescent="0.25">
      <c r="A117" s="36"/>
      <c r="B117" s="37"/>
      <c r="C117" s="37"/>
      <c r="D117" s="37"/>
      <c r="E117" s="63"/>
      <c r="F117" s="1"/>
      <c r="G117" s="1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</row>
    <row r="118" spans="1:255" s="88" customFormat="1" ht="30" customHeight="1" x14ac:dyDescent="0.25">
      <c r="A118" s="36"/>
      <c r="B118" s="37"/>
      <c r="C118" s="37"/>
      <c r="D118" s="37"/>
      <c r="E118" s="63"/>
      <c r="F118" s="1"/>
      <c r="G118" s="1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</row>
    <row r="119" spans="1:255" ht="30" customHeight="1" thickBot="1" x14ac:dyDescent="0.3">
      <c r="A119" s="222"/>
      <c r="B119" s="222"/>
      <c r="C119" s="222"/>
      <c r="D119" s="222"/>
      <c r="E119" s="222"/>
      <c r="F119" s="222"/>
      <c r="G119" s="89"/>
    </row>
    <row r="120" spans="1:255" s="12" customFormat="1" ht="38.25" customHeight="1" thickBot="1" x14ac:dyDescent="0.3">
      <c r="A120" s="223" t="s">
        <v>71</v>
      </c>
      <c r="B120" s="224"/>
      <c r="C120" s="224"/>
      <c r="D120" s="224"/>
      <c r="E120" s="224"/>
      <c r="F120" s="225"/>
      <c r="G120" s="112"/>
      <c r="H120" s="88"/>
    </row>
    <row r="121" spans="1:255" s="12" customFormat="1" ht="38.25" customHeight="1" thickBot="1" x14ac:dyDescent="0.3">
      <c r="A121" s="226" t="s">
        <v>72</v>
      </c>
      <c r="B121" s="227"/>
      <c r="C121" s="227"/>
      <c r="D121" s="228"/>
      <c r="E121" s="229">
        <f>E45</f>
        <v>3460754.04</v>
      </c>
      <c r="F121" s="230"/>
      <c r="G121" s="116"/>
      <c r="H121" s="88"/>
    </row>
    <row r="122" spans="1:255" s="12" customFormat="1" ht="38.25" customHeight="1" thickBot="1" x14ac:dyDescent="0.3">
      <c r="A122" s="226" t="s">
        <v>73</v>
      </c>
      <c r="B122" s="227"/>
      <c r="C122" s="227"/>
      <c r="D122" s="228"/>
      <c r="E122" s="229">
        <f>C94+D94</f>
        <v>3460754.04</v>
      </c>
      <c r="F122" s="230"/>
      <c r="G122" s="116"/>
      <c r="H122" s="88"/>
    </row>
    <row r="123" spans="1:255" s="12" customFormat="1" ht="38.25" customHeight="1" thickBot="1" x14ac:dyDescent="0.3">
      <c r="A123" s="226" t="s">
        <v>74</v>
      </c>
      <c r="B123" s="227"/>
      <c r="C123" s="227"/>
      <c r="D123" s="228"/>
      <c r="E123" s="231">
        <f>E42-(E122-E44)</f>
        <v>0</v>
      </c>
      <c r="F123" s="232"/>
      <c r="G123" s="123"/>
      <c r="H123" s="88"/>
    </row>
    <row r="124" spans="1:255" s="12" customFormat="1" ht="38.25" customHeight="1" thickBot="1" x14ac:dyDescent="0.3">
      <c r="A124" s="226" t="s">
        <v>75</v>
      </c>
      <c r="B124" s="227"/>
      <c r="C124" s="227"/>
      <c r="D124" s="228"/>
      <c r="E124" s="236">
        <v>0</v>
      </c>
      <c r="F124" s="237"/>
      <c r="G124" s="122"/>
      <c r="H124" s="88"/>
    </row>
    <row r="125" spans="1:255" s="12" customFormat="1" ht="38.25" customHeight="1" thickBot="1" x14ac:dyDescent="0.3">
      <c r="A125" s="226" t="s">
        <v>76</v>
      </c>
      <c r="B125" s="227"/>
      <c r="C125" s="227"/>
      <c r="D125" s="228"/>
      <c r="E125" s="231">
        <f>E123-E124</f>
        <v>0</v>
      </c>
      <c r="F125" s="232"/>
      <c r="G125" s="123"/>
      <c r="H125" s="64">
        <v>0</v>
      </c>
    </row>
    <row r="126" spans="1:255" ht="30" customHeight="1" x14ac:dyDescent="0.25">
      <c r="A126" s="40"/>
      <c r="B126" s="39"/>
      <c r="C126" s="39"/>
      <c r="D126" s="39"/>
      <c r="H126" s="64">
        <f>H125-E125</f>
        <v>0</v>
      </c>
    </row>
    <row r="127" spans="1:255" ht="30" customHeight="1" x14ac:dyDescent="0.25">
      <c r="A127" s="233" t="s">
        <v>77</v>
      </c>
      <c r="B127" s="233"/>
      <c r="C127" s="233"/>
      <c r="D127" s="233"/>
      <c r="E127" s="233"/>
      <c r="F127" s="233"/>
      <c r="G127" s="73"/>
    </row>
    <row r="128" spans="1:255" ht="30" customHeight="1" x14ac:dyDescent="0.25">
      <c r="A128" s="233"/>
      <c r="B128" s="233"/>
      <c r="C128" s="233"/>
      <c r="D128" s="233"/>
      <c r="E128" s="233"/>
      <c r="F128" s="233"/>
      <c r="G128" s="73"/>
    </row>
    <row r="129" spans="1:7" ht="30" customHeight="1" x14ac:dyDescent="0.25">
      <c r="A129" s="73"/>
      <c r="B129" s="73"/>
      <c r="C129" s="73"/>
      <c r="D129" s="73"/>
      <c r="E129" s="73"/>
      <c r="F129" s="73"/>
      <c r="G129" s="73"/>
    </row>
    <row r="130" spans="1:7" ht="30" customHeight="1" x14ac:dyDescent="0.25">
      <c r="A130" s="73"/>
      <c r="B130" s="73"/>
      <c r="C130" s="73"/>
      <c r="D130" s="73"/>
      <c r="E130" s="73"/>
      <c r="F130" s="73"/>
      <c r="G130" s="73"/>
    </row>
    <row r="131" spans="1:7" ht="30" customHeight="1" x14ac:dyDescent="0.25">
      <c r="A131" s="73"/>
      <c r="B131" s="73"/>
      <c r="C131" s="73"/>
      <c r="D131" s="73"/>
      <c r="E131" s="73"/>
      <c r="F131" s="73"/>
      <c r="G131" s="73"/>
    </row>
    <row r="132" spans="1:7" ht="30" customHeight="1" x14ac:dyDescent="0.25">
      <c r="A132" s="73"/>
      <c r="B132" s="73"/>
      <c r="C132" s="73"/>
      <c r="D132" s="73"/>
      <c r="E132" s="73"/>
      <c r="F132" s="73"/>
      <c r="G132" s="73"/>
    </row>
    <row r="133" spans="1:7" ht="30" customHeight="1" x14ac:dyDescent="0.25">
      <c r="A133" s="74"/>
      <c r="B133" s="75"/>
      <c r="C133" s="75"/>
      <c r="D133" s="75"/>
      <c r="E133" s="76"/>
      <c r="F133" s="12"/>
      <c r="G133" s="12"/>
    </row>
    <row r="134" spans="1:7" ht="30" customHeight="1" x14ac:dyDescent="0.25">
      <c r="A134" s="77" t="s">
        <v>212</v>
      </c>
      <c r="B134" s="78"/>
      <c r="C134" s="78"/>
      <c r="D134" s="78"/>
      <c r="E134" s="79"/>
      <c r="F134" s="80"/>
      <c r="G134" s="80"/>
    </row>
    <row r="135" spans="1:7" ht="30" customHeight="1" x14ac:dyDescent="0.25">
      <c r="A135" s="77"/>
      <c r="B135" s="78"/>
      <c r="C135" s="78"/>
      <c r="D135" s="78"/>
      <c r="E135" s="79"/>
      <c r="F135" s="80"/>
      <c r="G135" s="80"/>
    </row>
  </sheetData>
  <mergeCells count="58">
    <mergeCell ref="A28:B28"/>
    <mergeCell ref="D24:D25"/>
    <mergeCell ref="A26:B26"/>
    <mergeCell ref="E26:F26"/>
    <mergeCell ref="E28:F28"/>
    <mergeCell ref="A1:E1"/>
    <mergeCell ref="A8:F8"/>
    <mergeCell ref="A9:F9"/>
    <mergeCell ref="A17:F17"/>
    <mergeCell ref="A27:B27"/>
    <mergeCell ref="E27:F27"/>
    <mergeCell ref="E23:F23"/>
    <mergeCell ref="E24:F24"/>
    <mergeCell ref="E25:F25"/>
    <mergeCell ref="A18:F18"/>
    <mergeCell ref="A19:F19"/>
    <mergeCell ref="A23:B23"/>
    <mergeCell ref="A24:B25"/>
    <mergeCell ref="C24:C25"/>
    <mergeCell ref="A38:D38"/>
    <mergeCell ref="E38:F38"/>
    <mergeCell ref="A39:D39"/>
    <mergeCell ref="E39:F39"/>
    <mergeCell ref="E31:F31"/>
    <mergeCell ref="A29:B29"/>
    <mergeCell ref="E29:F29"/>
    <mergeCell ref="A32:A37"/>
    <mergeCell ref="B32:B37"/>
    <mergeCell ref="C32:C37"/>
    <mergeCell ref="E32:F37"/>
    <mergeCell ref="A30:F30"/>
    <mergeCell ref="E44:F44"/>
    <mergeCell ref="A45:D45"/>
    <mergeCell ref="E45:F45"/>
    <mergeCell ref="A48:C48"/>
    <mergeCell ref="A40:D40"/>
    <mergeCell ref="E40:F40"/>
    <mergeCell ref="A41:D41"/>
    <mergeCell ref="E41:F41"/>
    <mergeCell ref="A42:D42"/>
    <mergeCell ref="E42:F42"/>
    <mergeCell ref="A43:F43"/>
    <mergeCell ref="A44:D44"/>
    <mergeCell ref="E122:F122"/>
    <mergeCell ref="A123:D123"/>
    <mergeCell ref="E123:F123"/>
    <mergeCell ref="A124:D124"/>
    <mergeCell ref="E124:F124"/>
    <mergeCell ref="A125:D125"/>
    <mergeCell ref="A122:D122"/>
    <mergeCell ref="A63:F64"/>
    <mergeCell ref="A69:F69"/>
    <mergeCell ref="A119:F119"/>
    <mergeCell ref="A120:F120"/>
    <mergeCell ref="A121:D121"/>
    <mergeCell ref="E121:F121"/>
    <mergeCell ref="E125:F125"/>
    <mergeCell ref="A127:F128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35" fitToHeight="0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N162"/>
  <sheetViews>
    <sheetView zoomScale="50" zoomScaleNormal="50" zoomScaleSheetLayoutView="50" workbookViewId="0">
      <selection activeCell="D6" sqref="D6"/>
    </sheetView>
  </sheetViews>
  <sheetFormatPr defaultColWidth="0" defaultRowHeight="25.5" x14ac:dyDescent="0.35"/>
  <cols>
    <col min="1" max="1" width="39.85546875" style="176" customWidth="1"/>
    <col min="2" max="5" width="41" style="81" customWidth="1"/>
    <col min="6" max="6" width="60.42578125" style="81" customWidth="1"/>
    <col min="7" max="7" width="31.7109375" style="102" customWidth="1"/>
    <col min="8" max="8" width="31.7109375" style="83" customWidth="1"/>
    <col min="9" max="9" width="9.140625" style="83" customWidth="1"/>
    <col min="10" max="10" width="1.7109375" style="83" customWidth="1"/>
    <col min="11" max="22" width="9.140625" style="83" customWidth="1"/>
    <col min="23" max="23" width="1.42578125" style="83" customWidth="1"/>
    <col min="24" max="46" width="9.140625" style="83" customWidth="1"/>
    <col min="47" max="47" width="1.28515625" style="83" customWidth="1"/>
    <col min="48" max="68" width="9.140625" style="83" customWidth="1"/>
    <col min="69" max="69" width="1.28515625" style="83" customWidth="1"/>
    <col min="70" max="87" width="9.140625" style="83" customWidth="1"/>
    <col min="88" max="88" width="0.42578125" style="83" customWidth="1"/>
    <col min="89" max="89" width="1.140625" style="83" customWidth="1"/>
    <col min="90" max="112" width="9.140625" style="83" customWidth="1"/>
    <col min="113" max="113" width="1.7109375" style="83" customWidth="1"/>
    <col min="114" max="159" width="9.140625" style="83" customWidth="1"/>
    <col min="160" max="160" width="3.42578125" style="83" customWidth="1"/>
    <col min="161" max="183" width="9.140625" style="83" customWidth="1"/>
    <col min="184" max="184" width="2" style="83" customWidth="1"/>
    <col min="185" max="185" width="8" style="83" customWidth="1"/>
    <col min="186" max="190" width="9.140625" style="83" customWidth="1"/>
    <col min="191" max="191" width="8.7109375" style="83" customWidth="1"/>
    <col min="192" max="200" width="9.140625" style="83" customWidth="1"/>
    <col min="201" max="201" width="3.7109375" style="83" customWidth="1"/>
    <col min="202" max="202" width="9.140625" style="83" hidden="1" customWidth="1"/>
    <col min="203" max="223" width="0" style="83" hidden="1" customWidth="1"/>
    <col min="224" max="224" width="9.140625" style="83" hidden="1" customWidth="1"/>
    <col min="225" max="274" width="0" style="83" hidden="1" customWidth="1"/>
    <col min="275" max="16384" width="9.140625" style="83" hidden="1"/>
  </cols>
  <sheetData>
    <row r="1" spans="1:7" ht="30" customHeight="1" x14ac:dyDescent="0.35">
      <c r="A1" s="89"/>
      <c r="B1" s="89"/>
      <c r="C1" s="89"/>
      <c r="D1" s="89"/>
      <c r="E1" s="89"/>
      <c r="F1" s="126"/>
    </row>
    <row r="2" spans="1:7" ht="30" customHeight="1" x14ac:dyDescent="0.35">
      <c r="A2" s="89"/>
      <c r="B2" s="89"/>
      <c r="C2" s="89"/>
      <c r="D2" s="89"/>
      <c r="E2" s="89"/>
      <c r="F2" s="126"/>
    </row>
    <row r="3" spans="1:7" ht="30" customHeight="1" x14ac:dyDescent="0.35">
      <c r="A3" s="89"/>
      <c r="B3" s="89"/>
      <c r="C3" s="89"/>
      <c r="D3" s="89"/>
      <c r="E3" s="89"/>
      <c r="F3" s="126"/>
    </row>
    <row r="4" spans="1:7" ht="30" customHeight="1" x14ac:dyDescent="0.35">
      <c r="A4" s="89"/>
      <c r="B4" s="89"/>
      <c r="C4" s="89"/>
      <c r="D4" s="89"/>
      <c r="E4" s="89"/>
      <c r="F4" s="126"/>
    </row>
    <row r="5" spans="1:7" ht="30" customHeight="1" x14ac:dyDescent="0.35">
      <c r="A5" s="89"/>
      <c r="B5" s="89"/>
      <c r="C5" s="89"/>
      <c r="D5" s="89"/>
      <c r="E5" s="89"/>
      <c r="F5" s="126"/>
    </row>
    <row r="6" spans="1:7" ht="30" customHeight="1" x14ac:dyDescent="0.35">
      <c r="A6" s="89"/>
      <c r="B6" s="89"/>
      <c r="C6" s="89"/>
      <c r="D6" s="89"/>
      <c r="E6" s="89"/>
      <c r="F6" s="126"/>
    </row>
    <row r="7" spans="1:7" ht="30" customHeight="1" x14ac:dyDescent="0.35">
      <c r="A7" s="89"/>
      <c r="B7" s="89"/>
      <c r="C7" s="89"/>
      <c r="D7" s="89"/>
      <c r="E7" s="89"/>
      <c r="F7" s="126"/>
    </row>
    <row r="8" spans="1:7" ht="30" customHeight="1" x14ac:dyDescent="0.35">
      <c r="A8" s="89"/>
      <c r="B8" s="89"/>
      <c r="C8" s="89"/>
      <c r="D8" s="89"/>
      <c r="E8" s="89"/>
      <c r="F8" s="126"/>
    </row>
    <row r="9" spans="1:7" ht="30" customHeight="1" x14ac:dyDescent="0.35">
      <c r="A9" s="280" t="s">
        <v>92</v>
      </c>
      <c r="B9" s="280"/>
      <c r="C9" s="280"/>
      <c r="D9" s="280"/>
      <c r="E9" s="280"/>
      <c r="F9" s="280"/>
    </row>
    <row r="10" spans="1:7" ht="30" customHeight="1" x14ac:dyDescent="0.35">
      <c r="A10" s="280" t="s">
        <v>1</v>
      </c>
      <c r="B10" s="280"/>
      <c r="C10" s="280"/>
      <c r="D10" s="280"/>
      <c r="E10" s="280"/>
      <c r="F10" s="280"/>
    </row>
    <row r="11" spans="1:7" ht="30" customHeight="1" x14ac:dyDescent="0.35">
      <c r="A11" s="16"/>
      <c r="B11" s="17"/>
      <c r="C11" s="17"/>
      <c r="D11" s="17"/>
      <c r="E11" s="17"/>
      <c r="F11" s="17"/>
    </row>
    <row r="12" spans="1:7" s="127" customFormat="1" ht="30" customHeight="1" x14ac:dyDescent="0.35">
      <c r="A12" s="19" t="s">
        <v>241</v>
      </c>
      <c r="B12" s="20"/>
      <c r="C12" s="20"/>
      <c r="D12" s="20"/>
      <c r="E12" s="20"/>
      <c r="F12" s="20"/>
      <c r="G12" s="102"/>
    </row>
    <row r="13" spans="1:7" s="127" customFormat="1" ht="30" customHeight="1" x14ac:dyDescent="0.35">
      <c r="A13" s="19" t="s">
        <v>242</v>
      </c>
      <c r="B13" s="20"/>
      <c r="C13" s="20"/>
      <c r="D13" s="20"/>
      <c r="E13" s="20"/>
      <c r="F13" s="20"/>
      <c r="G13" s="102"/>
    </row>
    <row r="14" spans="1:7" s="127" customFormat="1" ht="30" customHeight="1" x14ac:dyDescent="0.35">
      <c r="A14" s="19" t="s">
        <v>243</v>
      </c>
      <c r="B14" s="20"/>
      <c r="C14" s="20"/>
      <c r="D14" s="20"/>
      <c r="E14" s="20"/>
      <c r="F14" s="20"/>
      <c r="G14" s="102"/>
    </row>
    <row r="15" spans="1:7" s="127" customFormat="1" ht="30" customHeight="1" x14ac:dyDescent="0.35">
      <c r="A15" s="19" t="s">
        <v>244</v>
      </c>
      <c r="B15" s="20"/>
      <c r="C15" s="20"/>
      <c r="D15" s="20"/>
      <c r="E15" s="20"/>
      <c r="F15" s="20"/>
      <c r="G15" s="102"/>
    </row>
    <row r="16" spans="1:7" s="127" customFormat="1" ht="30" customHeight="1" x14ac:dyDescent="0.35">
      <c r="A16" s="19" t="s">
        <v>245</v>
      </c>
      <c r="B16" s="20"/>
      <c r="C16" s="20"/>
      <c r="D16" s="20"/>
      <c r="E16" s="20"/>
      <c r="F16" s="20"/>
      <c r="G16" s="102"/>
    </row>
    <row r="17" spans="1:202" s="127" customFormat="1" ht="30" customHeight="1" x14ac:dyDescent="0.35">
      <c r="A17" s="19" t="s">
        <v>246</v>
      </c>
      <c r="B17" s="20"/>
      <c r="C17" s="20"/>
      <c r="D17" s="20"/>
      <c r="E17" s="20"/>
      <c r="F17" s="20"/>
      <c r="G17" s="102"/>
    </row>
    <row r="18" spans="1:202" s="127" customFormat="1" ht="30" customHeight="1" x14ac:dyDescent="0.4">
      <c r="A18" s="281" t="s">
        <v>247</v>
      </c>
      <c r="B18" s="281"/>
      <c r="C18" s="281"/>
      <c r="D18" s="281"/>
      <c r="E18" s="281"/>
      <c r="F18" s="281"/>
      <c r="G18" s="128"/>
      <c r="I18" s="129"/>
    </row>
    <row r="19" spans="1:202" s="127" customFormat="1" ht="30" customHeight="1" x14ac:dyDescent="0.4">
      <c r="A19" s="246" t="s">
        <v>2</v>
      </c>
      <c r="B19" s="246"/>
      <c r="C19" s="246"/>
      <c r="D19" s="246"/>
      <c r="E19" s="246"/>
      <c r="F19" s="246"/>
      <c r="G19" s="128"/>
      <c r="I19" s="129"/>
    </row>
    <row r="20" spans="1:202" s="127" customFormat="1" ht="30" customHeight="1" x14ac:dyDescent="0.4">
      <c r="A20" s="246" t="s">
        <v>3</v>
      </c>
      <c r="B20" s="246"/>
      <c r="C20" s="246"/>
      <c r="D20" s="246"/>
      <c r="E20" s="246"/>
      <c r="F20" s="246"/>
      <c r="G20" s="128"/>
      <c r="I20" s="129"/>
    </row>
    <row r="21" spans="1:202" s="127" customFormat="1" ht="30" customHeight="1" x14ac:dyDescent="0.4">
      <c r="A21" s="19" t="s">
        <v>248</v>
      </c>
      <c r="B21" s="20"/>
      <c r="C21" s="20"/>
      <c r="D21" s="20"/>
      <c r="E21" s="20"/>
      <c r="F21" s="9"/>
      <c r="G21" s="129"/>
    </row>
    <row r="22" spans="1:202" s="127" customFormat="1" ht="30" customHeight="1" x14ac:dyDescent="0.35">
      <c r="A22" s="19" t="s">
        <v>260</v>
      </c>
      <c r="B22" s="20"/>
      <c r="C22" s="20"/>
      <c r="D22" s="20"/>
      <c r="E22" s="20"/>
      <c r="F22" s="20"/>
      <c r="G22" s="102"/>
    </row>
    <row r="23" spans="1:202" s="127" customFormat="1" ht="30" customHeight="1" thickBot="1" x14ac:dyDescent="0.4">
      <c r="B23" s="130"/>
      <c r="C23" s="130"/>
      <c r="D23" s="130"/>
      <c r="E23" s="130"/>
      <c r="F23" s="130"/>
      <c r="G23" s="102"/>
    </row>
    <row r="24" spans="1:202" s="127" customFormat="1" ht="38.25" customHeight="1" thickBot="1" x14ac:dyDescent="0.4">
      <c r="A24" s="278" t="s">
        <v>4</v>
      </c>
      <c r="B24" s="278"/>
      <c r="C24" s="24" t="s">
        <v>5</v>
      </c>
      <c r="D24" s="24" t="s">
        <v>6</v>
      </c>
      <c r="E24" s="278" t="s">
        <v>7</v>
      </c>
      <c r="F24" s="278"/>
      <c r="G24" s="102"/>
    </row>
    <row r="25" spans="1:202" s="127" customFormat="1" ht="38.25" customHeight="1" thickBot="1" x14ac:dyDescent="0.4">
      <c r="A25" s="277" t="s">
        <v>93</v>
      </c>
      <c r="B25" s="277"/>
      <c r="C25" s="131" t="s">
        <v>93</v>
      </c>
      <c r="D25" s="131" t="s">
        <v>93</v>
      </c>
      <c r="E25" s="235" t="s">
        <v>93</v>
      </c>
      <c r="F25" s="235"/>
      <c r="G25" s="102"/>
    </row>
    <row r="26" spans="1:202" s="135" customFormat="1" ht="37.5" customHeight="1" thickBot="1" x14ac:dyDescent="0.3">
      <c r="A26" s="132"/>
      <c r="B26" s="132"/>
      <c r="C26" s="132"/>
      <c r="D26" s="132"/>
      <c r="E26" s="239"/>
      <c r="F26" s="239"/>
      <c r="G26" s="133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</row>
    <row r="27" spans="1:202" s="127" customFormat="1" ht="60" customHeight="1" thickBot="1" x14ac:dyDescent="0.4">
      <c r="A27" s="278" t="s">
        <v>8</v>
      </c>
      <c r="B27" s="278"/>
      <c r="C27" s="278"/>
      <c r="D27" s="278"/>
      <c r="E27" s="278"/>
      <c r="F27" s="278"/>
      <c r="G27" s="102"/>
    </row>
    <row r="28" spans="1:202" s="127" customFormat="1" ht="80.25" customHeight="1" thickBot="1" x14ac:dyDescent="0.4">
      <c r="A28" s="30" t="s">
        <v>236</v>
      </c>
      <c r="B28" s="30" t="s">
        <v>9</v>
      </c>
      <c r="C28" s="24" t="s">
        <v>10</v>
      </c>
      <c r="D28" s="30" t="s">
        <v>11</v>
      </c>
      <c r="E28" s="241" t="s">
        <v>12</v>
      </c>
      <c r="F28" s="241"/>
      <c r="G28" s="102"/>
    </row>
    <row r="29" spans="1:202" s="127" customFormat="1" ht="37.5" customHeight="1" thickBot="1" x14ac:dyDescent="0.4">
      <c r="A29" s="136" t="s">
        <v>93</v>
      </c>
      <c r="B29" s="56" t="s">
        <v>93</v>
      </c>
      <c r="C29" s="136" t="s">
        <v>93</v>
      </c>
      <c r="D29" s="137" t="s">
        <v>93</v>
      </c>
      <c r="E29" s="235" t="s">
        <v>93</v>
      </c>
      <c r="F29" s="235"/>
      <c r="G29" s="102"/>
    </row>
    <row r="30" spans="1:202" s="127" customFormat="1" ht="37.5" customHeight="1" thickBot="1" x14ac:dyDescent="0.4">
      <c r="A30" s="234" t="s">
        <v>237</v>
      </c>
      <c r="B30" s="234"/>
      <c r="C30" s="234"/>
      <c r="D30" s="234"/>
      <c r="E30" s="235">
        <f>2204741.72</f>
        <v>2204741.7200000002</v>
      </c>
      <c r="F30" s="235"/>
      <c r="G30" s="102"/>
    </row>
    <row r="31" spans="1:202" s="127" customFormat="1" ht="37.5" customHeight="1" thickBot="1" x14ac:dyDescent="0.4">
      <c r="A31" s="234" t="s">
        <v>238</v>
      </c>
      <c r="B31" s="234"/>
      <c r="C31" s="234"/>
      <c r="D31" s="234"/>
      <c r="E31" s="279">
        <f>90049433.53+203.74</f>
        <v>90049637.269999996</v>
      </c>
      <c r="F31" s="279"/>
      <c r="G31" s="102"/>
      <c r="H31" s="138"/>
    </row>
    <row r="32" spans="1:202" s="127" customFormat="1" ht="38.1" customHeight="1" thickBot="1" x14ac:dyDescent="0.4">
      <c r="A32" s="226" t="s">
        <v>13</v>
      </c>
      <c r="B32" s="227"/>
      <c r="C32" s="227"/>
      <c r="D32" s="228"/>
      <c r="E32" s="248">
        <v>242284.6</v>
      </c>
      <c r="F32" s="235"/>
      <c r="G32" s="102"/>
      <c r="H32" s="138"/>
    </row>
    <row r="33" spans="1:8" s="127" customFormat="1" ht="38.1" customHeight="1" thickBot="1" x14ac:dyDescent="0.4">
      <c r="A33" s="234" t="s">
        <v>14</v>
      </c>
      <c r="B33" s="234"/>
      <c r="C33" s="234"/>
      <c r="D33" s="234"/>
      <c r="E33" s="235">
        <f>180203.74-203.74</f>
        <v>180000</v>
      </c>
      <c r="F33" s="235"/>
      <c r="G33" s="102"/>
      <c r="H33" s="138"/>
    </row>
    <row r="34" spans="1:8" s="127" customFormat="1" ht="38.1" customHeight="1" thickBot="1" x14ac:dyDescent="0.4">
      <c r="A34" s="234" t="s">
        <v>15</v>
      </c>
      <c r="B34" s="234"/>
      <c r="C34" s="234"/>
      <c r="D34" s="234"/>
      <c r="E34" s="238">
        <f>SUM(E30:E33)</f>
        <v>92676663.589999989</v>
      </c>
      <c r="F34" s="238"/>
      <c r="G34" s="102"/>
    </row>
    <row r="35" spans="1:8" s="127" customFormat="1" ht="38.1" customHeight="1" thickBot="1" x14ac:dyDescent="0.4">
      <c r="A35" s="270"/>
      <c r="B35" s="271"/>
      <c r="C35" s="271"/>
      <c r="D35" s="272"/>
      <c r="E35" s="239"/>
      <c r="F35" s="239"/>
      <c r="G35" s="102"/>
      <c r="H35" s="102"/>
    </row>
    <row r="36" spans="1:8" s="127" customFormat="1" ht="38.1" customHeight="1" thickBot="1" x14ac:dyDescent="0.4">
      <c r="A36" s="234" t="s">
        <v>94</v>
      </c>
      <c r="B36" s="234"/>
      <c r="C36" s="234"/>
      <c r="D36" s="234"/>
      <c r="E36" s="235">
        <v>0</v>
      </c>
      <c r="F36" s="235"/>
      <c r="G36" s="102"/>
      <c r="H36" s="102"/>
    </row>
    <row r="37" spans="1:8" s="127" customFormat="1" ht="38.1" customHeight="1" thickBot="1" x14ac:dyDescent="0.4">
      <c r="A37" s="234" t="s">
        <v>17</v>
      </c>
      <c r="B37" s="234"/>
      <c r="C37" s="234"/>
      <c r="D37" s="234"/>
      <c r="E37" s="273">
        <f>E34+E36</f>
        <v>92676663.589999989</v>
      </c>
      <c r="F37" s="273"/>
      <c r="G37" s="102"/>
    </row>
    <row r="38" spans="1:8" ht="30" customHeight="1" x14ac:dyDescent="0.35">
      <c r="A38" s="139" t="s">
        <v>18</v>
      </c>
      <c r="B38" s="140"/>
      <c r="C38" s="140"/>
      <c r="D38" s="140"/>
      <c r="E38" s="141"/>
      <c r="F38" s="141"/>
    </row>
    <row r="39" spans="1:8" ht="30" customHeight="1" x14ac:dyDescent="0.35">
      <c r="A39" s="139" t="s">
        <v>19</v>
      </c>
      <c r="B39" s="140"/>
      <c r="C39" s="140"/>
      <c r="D39" s="141"/>
      <c r="E39" s="141"/>
      <c r="F39" s="141"/>
    </row>
    <row r="40" spans="1:8" ht="30" customHeight="1" x14ac:dyDescent="0.35">
      <c r="A40" s="217" t="s">
        <v>239</v>
      </c>
      <c r="B40" s="217"/>
      <c r="C40" s="217"/>
      <c r="D40" s="141"/>
      <c r="E40" s="141"/>
      <c r="F40" s="141"/>
    </row>
    <row r="41" spans="1:8" ht="30" customHeight="1" x14ac:dyDescent="0.35">
      <c r="A41" s="142"/>
      <c r="B41" s="141"/>
      <c r="C41" s="141"/>
      <c r="D41" s="141"/>
      <c r="E41" s="141"/>
      <c r="F41" s="141"/>
    </row>
    <row r="42" spans="1:8" ht="30" customHeight="1" x14ac:dyDescent="0.35">
      <c r="A42" s="143"/>
      <c r="B42" s="143"/>
      <c r="C42" s="143"/>
      <c r="D42" s="143"/>
      <c r="E42" s="143"/>
      <c r="F42" s="143"/>
    </row>
    <row r="43" spans="1:8" ht="30" customHeight="1" x14ac:dyDescent="0.35">
      <c r="A43" s="143"/>
      <c r="B43" s="143"/>
      <c r="C43" s="143"/>
      <c r="D43" s="143"/>
      <c r="E43" s="143"/>
      <c r="F43" s="143"/>
    </row>
    <row r="44" spans="1:8" ht="30" customHeight="1" x14ac:dyDescent="0.35">
      <c r="A44" s="143"/>
      <c r="B44" s="143"/>
      <c r="C44" s="143"/>
      <c r="D44" s="143"/>
      <c r="E44" s="143"/>
      <c r="F44" s="143"/>
    </row>
    <row r="45" spans="1:8" ht="30" customHeight="1" x14ac:dyDescent="0.35">
      <c r="A45" s="143"/>
      <c r="B45" s="143"/>
      <c r="C45" s="143"/>
      <c r="D45" s="143"/>
      <c r="E45" s="143"/>
      <c r="F45" s="143"/>
    </row>
    <row r="46" spans="1:8" ht="30" customHeight="1" x14ac:dyDescent="0.35">
      <c r="A46" s="143"/>
      <c r="B46" s="143"/>
      <c r="C46" s="143"/>
      <c r="D46" s="143"/>
      <c r="E46" s="143"/>
      <c r="F46" s="143"/>
    </row>
    <row r="47" spans="1:8" ht="30" customHeight="1" x14ac:dyDescent="0.35">
      <c r="A47" s="143"/>
      <c r="B47" s="143"/>
      <c r="C47" s="143"/>
      <c r="D47" s="143"/>
      <c r="E47" s="143"/>
      <c r="F47" s="143"/>
    </row>
    <row r="48" spans="1:8" ht="30" customHeight="1" x14ac:dyDescent="0.35">
      <c r="A48" s="143"/>
      <c r="B48" s="143"/>
      <c r="C48" s="143"/>
      <c r="D48" s="143"/>
      <c r="E48" s="143"/>
      <c r="F48" s="143"/>
    </row>
    <row r="49" spans="1:7" ht="30" customHeight="1" x14ac:dyDescent="0.35">
      <c r="A49" s="143"/>
      <c r="B49" s="143"/>
      <c r="C49" s="143"/>
      <c r="D49" s="143"/>
      <c r="E49" s="143"/>
      <c r="F49" s="143"/>
    </row>
    <row r="50" spans="1:7" ht="30" customHeight="1" x14ac:dyDescent="0.35">
      <c r="A50" s="143"/>
      <c r="B50" s="143"/>
      <c r="C50" s="143"/>
      <c r="D50" s="143"/>
      <c r="E50" s="143"/>
      <c r="F50" s="143"/>
    </row>
    <row r="51" spans="1:7" ht="30" customHeight="1" x14ac:dyDescent="0.35">
      <c r="A51" s="143"/>
      <c r="B51" s="143"/>
      <c r="C51" s="143"/>
      <c r="D51" s="143"/>
      <c r="E51" s="143"/>
      <c r="F51" s="143"/>
    </row>
    <row r="52" spans="1:7" ht="30" customHeight="1" x14ac:dyDescent="0.35">
      <c r="A52" s="143"/>
      <c r="B52" s="143"/>
      <c r="C52" s="143"/>
      <c r="D52" s="143"/>
      <c r="E52" s="143"/>
      <c r="F52" s="143"/>
    </row>
    <row r="53" spans="1:7" ht="30" customHeight="1" x14ac:dyDescent="0.35">
      <c r="A53" s="143"/>
      <c r="B53" s="143"/>
      <c r="C53" s="143"/>
      <c r="D53" s="143"/>
      <c r="E53" s="143"/>
      <c r="F53" s="143"/>
    </row>
    <row r="54" spans="1:7" ht="30" customHeight="1" x14ac:dyDescent="0.35">
      <c r="A54" s="143"/>
      <c r="B54" s="143"/>
      <c r="C54" s="143"/>
      <c r="D54" s="143"/>
      <c r="E54" s="143"/>
      <c r="F54" s="143"/>
    </row>
    <row r="55" spans="1:7" ht="30" customHeight="1" x14ac:dyDescent="0.35">
      <c r="A55" s="143"/>
      <c r="B55" s="143"/>
      <c r="C55" s="143"/>
      <c r="D55" s="143"/>
      <c r="E55" s="143"/>
      <c r="F55" s="143"/>
    </row>
    <row r="56" spans="1:7" ht="30" customHeight="1" x14ac:dyDescent="0.35">
      <c r="A56" s="218" t="s">
        <v>240</v>
      </c>
      <c r="B56" s="218"/>
      <c r="C56" s="218"/>
      <c r="D56" s="218"/>
      <c r="E56" s="218"/>
      <c r="F56" s="218"/>
    </row>
    <row r="57" spans="1:7" ht="30" customHeight="1" x14ac:dyDescent="0.35">
      <c r="A57" s="218"/>
      <c r="B57" s="218"/>
      <c r="C57" s="218"/>
      <c r="D57" s="218"/>
      <c r="E57" s="218"/>
      <c r="F57" s="218"/>
    </row>
    <row r="58" spans="1:7" ht="30" customHeight="1" x14ac:dyDescent="0.35">
      <c r="A58" s="143"/>
      <c r="B58" s="143"/>
      <c r="C58" s="143"/>
      <c r="D58" s="143"/>
      <c r="E58" s="143"/>
      <c r="F58" s="143"/>
    </row>
    <row r="59" spans="1:7" ht="30" customHeight="1" x14ac:dyDescent="0.35">
      <c r="A59" s="143"/>
      <c r="B59" s="143"/>
      <c r="C59" s="143"/>
      <c r="D59" s="143"/>
      <c r="E59" s="143"/>
      <c r="F59" s="143"/>
    </row>
    <row r="60" spans="1:7" ht="30" customHeight="1" x14ac:dyDescent="0.35">
      <c r="A60" s="143"/>
      <c r="B60" s="143"/>
      <c r="C60" s="143"/>
      <c r="D60" s="143"/>
      <c r="E60" s="143"/>
      <c r="F60" s="143"/>
    </row>
    <row r="61" spans="1:7" ht="30" customHeight="1" thickBot="1" x14ac:dyDescent="0.4">
      <c r="A61" s="143"/>
      <c r="B61" s="143"/>
      <c r="C61" s="143"/>
      <c r="D61" s="143"/>
      <c r="E61" s="143"/>
      <c r="F61" s="143"/>
    </row>
    <row r="62" spans="1:7" s="127" customFormat="1" ht="37.5" customHeight="1" thickBot="1" x14ac:dyDescent="0.4">
      <c r="A62" s="223" t="s">
        <v>20</v>
      </c>
      <c r="B62" s="224"/>
      <c r="C62" s="224"/>
      <c r="D62" s="224"/>
      <c r="E62" s="224"/>
      <c r="F62" s="225"/>
      <c r="G62" s="102"/>
    </row>
    <row r="63" spans="1:7" s="127" customFormat="1" ht="37.5" customHeight="1" thickBot="1" x14ac:dyDescent="0.4">
      <c r="A63" s="274" t="s">
        <v>261</v>
      </c>
      <c r="B63" s="275"/>
      <c r="C63" s="275"/>
      <c r="D63" s="275"/>
      <c r="E63" s="275"/>
      <c r="F63" s="276"/>
      <c r="G63" s="102"/>
    </row>
    <row r="64" spans="1:7" s="127" customFormat="1" ht="33" customHeight="1" x14ac:dyDescent="0.4">
      <c r="A64" s="144"/>
      <c r="B64" s="145"/>
      <c r="C64" s="146" t="s">
        <v>21</v>
      </c>
      <c r="D64" s="146" t="s">
        <v>21</v>
      </c>
      <c r="E64" s="147" t="s">
        <v>22</v>
      </c>
      <c r="F64" s="146" t="s">
        <v>21</v>
      </c>
      <c r="G64" s="102"/>
    </row>
    <row r="65" spans="1:7" s="127" customFormat="1" ht="33" customHeight="1" x14ac:dyDescent="0.4">
      <c r="A65" s="147" t="s">
        <v>23</v>
      </c>
      <c r="B65" s="148" t="s">
        <v>21</v>
      </c>
      <c r="C65" s="147" t="s">
        <v>24</v>
      </c>
      <c r="D65" s="147" t="s">
        <v>24</v>
      </c>
      <c r="E65" s="147" t="s">
        <v>21</v>
      </c>
      <c r="F65" s="147" t="s">
        <v>24</v>
      </c>
      <c r="G65" s="102"/>
    </row>
    <row r="66" spans="1:7" s="127" customFormat="1" ht="33" customHeight="1" x14ac:dyDescent="0.4">
      <c r="A66" s="147" t="s">
        <v>25</v>
      </c>
      <c r="B66" s="148" t="s">
        <v>24</v>
      </c>
      <c r="C66" s="147" t="s">
        <v>26</v>
      </c>
      <c r="D66" s="147" t="s">
        <v>27</v>
      </c>
      <c r="E66" s="147" t="s">
        <v>28</v>
      </c>
      <c r="F66" s="147" t="s">
        <v>29</v>
      </c>
      <c r="G66" s="102"/>
    </row>
    <row r="67" spans="1:7" s="127" customFormat="1" ht="33" customHeight="1" x14ac:dyDescent="0.4">
      <c r="A67" s="147" t="s">
        <v>30</v>
      </c>
      <c r="B67" s="148" t="s">
        <v>31</v>
      </c>
      <c r="C67" s="147" t="s">
        <v>32</v>
      </c>
      <c r="D67" s="147" t="s">
        <v>33</v>
      </c>
      <c r="E67" s="147" t="s">
        <v>31</v>
      </c>
      <c r="F67" s="147" t="s">
        <v>34</v>
      </c>
      <c r="G67" s="102"/>
    </row>
    <row r="68" spans="1:7" s="127" customFormat="1" ht="33" customHeight="1" x14ac:dyDescent="0.4">
      <c r="A68" s="149"/>
      <c r="B68" s="148" t="s">
        <v>35</v>
      </c>
      <c r="C68" s="147" t="s">
        <v>36</v>
      </c>
      <c r="D68" s="147" t="s">
        <v>35</v>
      </c>
      <c r="E68" s="147" t="s">
        <v>37</v>
      </c>
      <c r="F68" s="147" t="s">
        <v>38</v>
      </c>
      <c r="G68" s="102"/>
    </row>
    <row r="69" spans="1:7" s="127" customFormat="1" ht="33" customHeight="1" x14ac:dyDescent="0.4">
      <c r="A69" s="149"/>
      <c r="B69" s="150"/>
      <c r="C69" s="147" t="s">
        <v>35</v>
      </c>
      <c r="D69" s="147" t="s">
        <v>39</v>
      </c>
      <c r="E69" s="147" t="s">
        <v>40</v>
      </c>
      <c r="F69" s="147" t="s">
        <v>41</v>
      </c>
      <c r="G69" s="102"/>
    </row>
    <row r="70" spans="1:7" s="127" customFormat="1" ht="33" customHeight="1" thickBot="1" x14ac:dyDescent="0.45">
      <c r="A70" s="151"/>
      <c r="B70" s="152"/>
      <c r="C70" s="153" t="s">
        <v>42</v>
      </c>
      <c r="D70" s="154"/>
      <c r="E70" s="155" t="s">
        <v>43</v>
      </c>
      <c r="F70" s="154"/>
      <c r="G70" s="102"/>
    </row>
    <row r="71" spans="1:7" s="127" customFormat="1" ht="47.25" customHeight="1" thickBot="1" x14ac:dyDescent="0.4">
      <c r="A71" s="54" t="s">
        <v>44</v>
      </c>
      <c r="B71" s="55">
        <f t="shared" ref="B71:B87" si="0">D71+F71</f>
        <v>9048994.7099999972</v>
      </c>
      <c r="C71" s="56">
        <f>284552.68+178165.9+68914.77+49070.4+48761.62+45870.4+45870.4+1350.6+3184.88</f>
        <v>725741.65</v>
      </c>
      <c r="D71" s="57">
        <f>682241.13+110371.77+775698.65+217880.44+686762.21+235392.38+687758.96+254455+735144.81+244719.67+942441.46+138060.41+528488.49+44924.47+460374.41+44733.29+487548.97+506541.51+48050.38+48214.18+496524.97+59152.78+519392.34</f>
        <v>8954872.6799999978</v>
      </c>
      <c r="E71" s="56">
        <f>C71+D71</f>
        <v>9680614.3299999982</v>
      </c>
      <c r="F71" s="57">
        <f>61693.17+23112.48+9316.38</f>
        <v>94122.03</v>
      </c>
    </row>
    <row r="72" spans="1:7" s="127" customFormat="1" ht="47.25" customHeight="1" thickBot="1" x14ac:dyDescent="0.4">
      <c r="A72" s="54" t="s">
        <v>45</v>
      </c>
      <c r="B72" s="55">
        <f t="shared" si="0"/>
        <v>0</v>
      </c>
      <c r="C72" s="56">
        <v>0</v>
      </c>
      <c r="D72" s="57">
        <v>0</v>
      </c>
      <c r="E72" s="56">
        <f t="shared" ref="E72:E86" si="1">C72+D72</f>
        <v>0</v>
      </c>
      <c r="F72" s="56">
        <v>0</v>
      </c>
    </row>
    <row r="73" spans="1:7" s="127" customFormat="1" ht="47.25" customHeight="1" thickBot="1" x14ac:dyDescent="0.4">
      <c r="A73" s="54" t="s">
        <v>46</v>
      </c>
      <c r="B73" s="55">
        <f t="shared" si="0"/>
        <v>13786024.789999995</v>
      </c>
      <c r="C73" s="56">
        <f>1307042.55+114026</f>
        <v>1421068.55</v>
      </c>
      <c r="D73" s="57">
        <f>1789.94+528914.97+546.71+1076917.39+28946.42+1221043.56+2783.7+1254833.71+1441.47+1290834.73+4516.36+506189.3+1238.43+1114105.87+3289.68+1928798.64+67122.35+64661.7+966036.27+1097496.19+64590.35+1152692.46+57829.84</f>
        <v>12436620.039999995</v>
      </c>
      <c r="E73" s="56">
        <f t="shared" si="1"/>
        <v>13857688.589999996</v>
      </c>
      <c r="F73" s="56">
        <f>1205082.53+144322.22</f>
        <v>1349404.75</v>
      </c>
    </row>
    <row r="74" spans="1:7" s="127" customFormat="1" ht="55.5" customHeight="1" thickBot="1" x14ac:dyDescent="0.4">
      <c r="A74" s="156" t="s">
        <v>47</v>
      </c>
      <c r="B74" s="55">
        <f t="shared" si="0"/>
        <v>34028729.589999996</v>
      </c>
      <c r="C74" s="56">
        <f>3699086.02+2131278.65+149920.58</f>
        <v>5980285.25</v>
      </c>
      <c r="D74" s="57">
        <f>20199.52+300569.11+31335.67+2021653.8+45704.18+3017585+21013.59+2236657.07+69623+2578367.93+20318.61+2370710.62+16945.22+2974318.51+34995.14+3265037.8+14509.13+42790.86+2838382.53+2837057.33+40206.04+3143279.9+93274.98</f>
        <v>28034535.539999995</v>
      </c>
      <c r="E74" s="56">
        <f t="shared" si="1"/>
        <v>34014820.789999992</v>
      </c>
      <c r="F74" s="56">
        <f>3662441.79+2102945.87+228806.39</f>
        <v>5994194.0499999998</v>
      </c>
    </row>
    <row r="75" spans="1:7" s="127" customFormat="1" ht="47.25" customHeight="1" thickBot="1" x14ac:dyDescent="0.4">
      <c r="A75" s="54" t="s">
        <v>48</v>
      </c>
      <c r="B75" s="55">
        <f t="shared" si="0"/>
        <v>3086464.5399999991</v>
      </c>
      <c r="C75" s="56">
        <f>192140.09+2927.54</f>
        <v>195067.63</v>
      </c>
      <c r="D75" s="57">
        <f>59307.77+141645.88+37810.22+180208.96+64593.68+201893.89+42478.63+204388.23+80977.4+195227.41+66914.99+171219.29+47670.92+191805.1+95968.41+197895.49+81553.15+91456.76+194860.61+177537.79+50232.34+230370.36+74198.94</f>
        <v>2880216.2199999993</v>
      </c>
      <c r="E75" s="56">
        <f t="shared" si="1"/>
        <v>3075283.8499999992</v>
      </c>
      <c r="F75" s="56">
        <v>206248.32000000001</v>
      </c>
    </row>
    <row r="76" spans="1:7" s="127" customFormat="1" ht="55.5" customHeight="1" thickBot="1" x14ac:dyDescent="0.4">
      <c r="A76" s="156" t="s">
        <v>49</v>
      </c>
      <c r="B76" s="55">
        <f t="shared" si="0"/>
        <v>5378021.25</v>
      </c>
      <c r="C76" s="56">
        <f>372641.71+32767.33+5083.86</f>
        <v>410492.9</v>
      </c>
      <c r="D76" s="57">
        <f>34850.46+366381.93+26155.33+422038.91+68159.9+640140.52+14178.92+422489.84+56451.11+423744.31+26238.43+312563.96+33992.96+389844.49+59451.61+376164.5+40461.73+28305.98+335880.46+330688.8+27085.68+358639.15+33141.63</f>
        <v>4827050.6100000003</v>
      </c>
      <c r="E76" s="56">
        <f t="shared" si="1"/>
        <v>5237543.5100000007</v>
      </c>
      <c r="F76" s="56">
        <f>494516.12+50138.52+6316</f>
        <v>550970.64</v>
      </c>
    </row>
    <row r="77" spans="1:7" s="127" customFormat="1" ht="47.25" customHeight="1" thickBot="1" x14ac:dyDescent="0.4">
      <c r="A77" s="54" t="s">
        <v>50</v>
      </c>
      <c r="B77" s="55">
        <f t="shared" si="0"/>
        <v>2302196.84</v>
      </c>
      <c r="C77" s="56">
        <f>80456.69+48655.56+6569.5</f>
        <v>135681.75</v>
      </c>
      <c r="D77" s="57">
        <f>196177.41+24071.3+110275.53+162229.27+45769.34+152362.01+38938.89+81734.86+43258.76+7575.42+159843.21+135259.34+44523.38+288952.58+54846.19+98441.14+54754.91+149327.99+9076.96+16707.98+150191.68+89936.44+77815.07</f>
        <v>2192069.6599999997</v>
      </c>
      <c r="E77" s="56">
        <f t="shared" si="1"/>
        <v>2327751.4099999997</v>
      </c>
      <c r="F77" s="56">
        <v>110127.18</v>
      </c>
    </row>
    <row r="78" spans="1:7" s="127" customFormat="1" ht="55.5" customHeight="1" thickBot="1" x14ac:dyDescent="0.4">
      <c r="A78" s="156" t="s">
        <v>51</v>
      </c>
      <c r="B78" s="55">
        <f t="shared" si="0"/>
        <v>8530053.3300000019</v>
      </c>
      <c r="C78" s="56">
        <f>406586.15+78029.7+8213.5</f>
        <v>492829.35000000003</v>
      </c>
      <c r="D78" s="57">
        <f>300075.87+278090.41+317696.7+369425.68+287227.41+405437.69+271559.08+352711.99+439833.34+448111.37+269274.96+407723.46+262114.19+437768.26+291950.24+374368.86+357146.41+252159.8+492571.07+486025.38+294443.38+351283.4+338447.44</f>
        <v>8085446.3900000015</v>
      </c>
      <c r="E78" s="56">
        <f t="shared" si="1"/>
        <v>8578275.7400000021</v>
      </c>
      <c r="F78" s="56">
        <f>410682.47+32684.46+1240.01</f>
        <v>444606.94</v>
      </c>
    </row>
    <row r="79" spans="1:7" s="127" customFormat="1" ht="47.25" customHeight="1" thickBot="1" x14ac:dyDescent="0.4">
      <c r="A79" s="54" t="s">
        <v>52</v>
      </c>
      <c r="B79" s="55">
        <f t="shared" si="0"/>
        <v>163461.49</v>
      </c>
      <c r="C79" s="56">
        <f>4500+4500+4123.63</f>
        <v>13123.630000000001</v>
      </c>
      <c r="D79" s="57">
        <f>54432.62-4123.63+112237.5-4500-4500</f>
        <v>153546.49</v>
      </c>
      <c r="E79" s="56">
        <f t="shared" si="1"/>
        <v>166670.12</v>
      </c>
      <c r="F79" s="157">
        <f>9915</f>
        <v>9915</v>
      </c>
    </row>
    <row r="80" spans="1:7" s="127" customFormat="1" ht="47.25" customHeight="1" thickBot="1" x14ac:dyDescent="0.4">
      <c r="A80" s="54" t="s">
        <v>53</v>
      </c>
      <c r="B80" s="55">
        <f t="shared" si="0"/>
        <v>4884482.0299999993</v>
      </c>
      <c r="C80" s="56">
        <f>100606.12-C79</f>
        <v>87482.489999999991</v>
      </c>
      <c r="D80" s="57">
        <f>4906350.76-D79</f>
        <v>4752804.2699999996</v>
      </c>
      <c r="E80" s="56">
        <f t="shared" si="1"/>
        <v>4840286.76</v>
      </c>
      <c r="F80" s="56">
        <f>141592.76-F79</f>
        <v>131677.76000000001</v>
      </c>
    </row>
    <row r="81" spans="1:8" s="127" customFormat="1" ht="47.25" customHeight="1" thickBot="1" x14ac:dyDescent="0.4">
      <c r="A81" s="54" t="s">
        <v>54</v>
      </c>
      <c r="B81" s="55">
        <f t="shared" si="0"/>
        <v>2754475.4000000008</v>
      </c>
      <c r="C81" s="56">
        <f>313173.15</f>
        <v>313173.15000000002</v>
      </c>
      <c r="D81" s="57">
        <f>90284.77+330112.39+88988.11+305203.51+90046.98+355657.58+98328.86+273862.63+95531.67+215401.17+100050.22+37298.9+103074.23+40623.99+27801.37+38918.08+37520.08+40951.39+14828.37+20532.83+67897.18+13375.24+43512.51</f>
        <v>2529802.060000001</v>
      </c>
      <c r="E81" s="56">
        <f t="shared" si="1"/>
        <v>2842975.2100000009</v>
      </c>
      <c r="F81" s="56">
        <v>224673.34</v>
      </c>
    </row>
    <row r="82" spans="1:8" s="127" customFormat="1" ht="47.25" customHeight="1" thickBot="1" x14ac:dyDescent="0.4">
      <c r="A82" s="54" t="s">
        <v>55</v>
      </c>
      <c r="B82" s="55">
        <f t="shared" si="0"/>
        <v>21465.109999999997</v>
      </c>
      <c r="C82" s="56">
        <v>0</v>
      </c>
      <c r="D82" s="57">
        <f>871.36+1350.09+1040+1907.09+2931.44+2134.01+1659.04+1283.67+1637.33+1502.14+3731.64+1417.3</f>
        <v>21465.109999999997</v>
      </c>
      <c r="E82" s="56">
        <f t="shared" si="1"/>
        <v>21465.109999999997</v>
      </c>
      <c r="F82" s="56">
        <v>0</v>
      </c>
    </row>
    <row r="83" spans="1:8" s="127" customFormat="1" ht="55.5" customHeight="1" thickBot="1" x14ac:dyDescent="0.4">
      <c r="A83" s="156" t="s">
        <v>56</v>
      </c>
      <c r="B83" s="55">
        <f t="shared" si="0"/>
        <v>1446773.74</v>
      </c>
      <c r="C83" s="56">
        <f>50184.66+12126.14+6375+6375</f>
        <v>75060.800000000003</v>
      </c>
      <c r="D83" s="57">
        <f>19506.31+90201.52+26063.02+229342.87+35476.21+130362.18+9544+67198.43+39972.07+70249.03+6800+71030.51+38899.72+80177.21+23797.48+56245.12+12696.13+14423.74+77923.37+97791.14+9985.59+46694.58+4646</f>
        <v>1259026.23</v>
      </c>
      <c r="E83" s="56">
        <f t="shared" si="1"/>
        <v>1334087.03</v>
      </c>
      <c r="F83" s="56">
        <f>120055.86+39084.09+28607.56</f>
        <v>187747.51</v>
      </c>
    </row>
    <row r="84" spans="1:8" s="127" customFormat="1" ht="47.25" customHeight="1" thickBot="1" x14ac:dyDescent="0.4">
      <c r="A84" s="54" t="s">
        <v>57</v>
      </c>
      <c r="B84" s="55">
        <f t="shared" si="0"/>
        <v>0</v>
      </c>
      <c r="C84" s="56">
        <v>0</v>
      </c>
      <c r="D84" s="57">
        <v>0</v>
      </c>
      <c r="E84" s="56">
        <f t="shared" si="1"/>
        <v>0</v>
      </c>
      <c r="F84" s="56">
        <v>0</v>
      </c>
      <c r="G84" s="102"/>
    </row>
    <row r="85" spans="1:8" s="127" customFormat="1" ht="55.5" customHeight="1" thickBot="1" x14ac:dyDescent="0.4">
      <c r="A85" s="156" t="s">
        <v>58</v>
      </c>
      <c r="B85" s="55">
        <f t="shared" si="0"/>
        <v>10300.48</v>
      </c>
      <c r="C85" s="56">
        <v>0</v>
      </c>
      <c r="D85" s="57">
        <f>775.5+812.7+837.1+882.95+792.7+933.15+1058.45+1071.58+911.15+757.8+673.2+794.2</f>
        <v>10300.48</v>
      </c>
      <c r="E85" s="56">
        <f t="shared" si="1"/>
        <v>10300.48</v>
      </c>
      <c r="F85" s="56">
        <v>0</v>
      </c>
      <c r="G85" s="102"/>
    </row>
    <row r="86" spans="1:8" s="127" customFormat="1" ht="47.25" customHeight="1" thickBot="1" x14ac:dyDescent="0.4">
      <c r="A86" s="54" t="s">
        <v>59</v>
      </c>
      <c r="B86" s="55">
        <f t="shared" si="0"/>
        <v>76638.130000000019</v>
      </c>
      <c r="C86" s="56">
        <f>1026</f>
        <v>1026</v>
      </c>
      <c r="D86" s="57">
        <f>724.38+2601.49+46516.4+3953.97+5486.77+878.6+300+2146.39+2252.18+3769.21+150+952.6+350+2276.62+879.83+300.69+3099</f>
        <v>76638.130000000019</v>
      </c>
      <c r="E86" s="56">
        <f t="shared" si="1"/>
        <v>77664.130000000019</v>
      </c>
      <c r="F86" s="56">
        <v>0</v>
      </c>
      <c r="G86" s="102"/>
    </row>
    <row r="87" spans="1:8" s="127" customFormat="1" ht="47.25" customHeight="1" thickBot="1" x14ac:dyDescent="0.4">
      <c r="A87" s="61" t="s">
        <v>0</v>
      </c>
      <c r="B87" s="158">
        <f t="shared" si="0"/>
        <v>85518081.429999977</v>
      </c>
      <c r="C87" s="62">
        <f>SUM(C71:C86)</f>
        <v>9851033.1500000022</v>
      </c>
      <c r="D87" s="62">
        <f>SUM(D71:D86)</f>
        <v>76214393.909999982</v>
      </c>
      <c r="E87" s="62">
        <f>SUM(E71:E86)</f>
        <v>86065427.060000002</v>
      </c>
      <c r="F87" s="159">
        <f>SUM(F71:F86)</f>
        <v>9303687.5199999996</v>
      </c>
      <c r="G87" s="64"/>
      <c r="H87" s="160"/>
    </row>
    <row r="88" spans="1:8" s="15" customFormat="1" ht="30" customHeight="1" x14ac:dyDescent="0.25">
      <c r="A88" s="36" t="s">
        <v>60</v>
      </c>
      <c r="B88" s="37"/>
      <c r="C88" s="37"/>
      <c r="D88" s="37"/>
      <c r="E88" s="37"/>
      <c r="F88" s="37"/>
      <c r="G88" s="35"/>
      <c r="H88" s="68"/>
    </row>
    <row r="89" spans="1:8" s="15" customFormat="1" ht="30" customHeight="1" x14ac:dyDescent="0.25">
      <c r="A89" s="36" t="s">
        <v>61</v>
      </c>
      <c r="B89" s="37"/>
      <c r="C89" s="65"/>
      <c r="D89" s="161"/>
      <c r="E89" s="64"/>
      <c r="F89" s="162"/>
      <c r="G89" s="65"/>
    </row>
    <row r="90" spans="1:8" s="15" customFormat="1" ht="30" customHeight="1" x14ac:dyDescent="0.35">
      <c r="A90" s="36" t="s">
        <v>62</v>
      </c>
      <c r="B90" s="37"/>
      <c r="C90" s="65"/>
      <c r="D90" s="163"/>
      <c r="E90" s="65"/>
      <c r="F90" s="164"/>
      <c r="G90" s="10"/>
    </row>
    <row r="91" spans="1:8" s="15" customFormat="1" ht="30" customHeight="1" x14ac:dyDescent="0.25">
      <c r="A91" s="36" t="s">
        <v>63</v>
      </c>
      <c r="B91" s="37"/>
      <c r="C91" s="37"/>
      <c r="D91" s="37"/>
      <c r="E91" s="65"/>
      <c r="F91" s="37"/>
      <c r="G91" s="35"/>
    </row>
    <row r="92" spans="1:8" s="15" customFormat="1" ht="30" customHeight="1" x14ac:dyDescent="0.25">
      <c r="A92" s="36" t="s">
        <v>64</v>
      </c>
      <c r="B92" s="37"/>
      <c r="C92" s="37"/>
      <c r="D92" s="37"/>
      <c r="E92" s="37"/>
      <c r="F92" s="37"/>
      <c r="G92" s="35"/>
    </row>
    <row r="93" spans="1:8" s="15" customFormat="1" ht="30" customHeight="1" x14ac:dyDescent="0.25">
      <c r="A93" s="36" t="s">
        <v>65</v>
      </c>
      <c r="B93" s="37"/>
      <c r="C93" s="37"/>
      <c r="D93" s="37"/>
      <c r="E93" s="37"/>
      <c r="F93" s="37"/>
      <c r="G93" s="35"/>
    </row>
    <row r="94" spans="1:8" ht="30" customHeight="1" x14ac:dyDescent="0.35">
      <c r="A94" s="165" t="s">
        <v>66</v>
      </c>
      <c r="B94" s="165"/>
      <c r="C94" s="165"/>
      <c r="D94" s="166"/>
      <c r="E94" s="165"/>
      <c r="F94" s="165"/>
    </row>
    <row r="95" spans="1:8" ht="30" customHeight="1" x14ac:dyDescent="0.35">
      <c r="A95" s="165" t="s">
        <v>67</v>
      </c>
      <c r="B95" s="165"/>
      <c r="C95" s="165"/>
      <c r="D95" s="167"/>
      <c r="E95" s="165"/>
      <c r="F95" s="165"/>
    </row>
    <row r="96" spans="1:8" ht="30" customHeight="1" x14ac:dyDescent="0.35">
      <c r="A96" s="165" t="s">
        <v>68</v>
      </c>
      <c r="B96" s="165"/>
      <c r="C96" s="165"/>
      <c r="D96" s="165"/>
      <c r="E96" s="165"/>
      <c r="F96" s="165"/>
    </row>
    <row r="97" spans="1:7" ht="30" customHeight="1" x14ac:dyDescent="0.35">
      <c r="A97" s="165" t="s">
        <v>69</v>
      </c>
      <c r="B97" s="165"/>
      <c r="C97" s="165"/>
      <c r="D97" s="165"/>
      <c r="E97" s="168"/>
      <c r="F97" s="168"/>
    </row>
    <row r="98" spans="1:7" ht="30" customHeight="1" x14ac:dyDescent="0.35">
      <c r="A98" s="165"/>
      <c r="B98" s="165"/>
      <c r="C98" s="165"/>
      <c r="D98" s="165"/>
      <c r="E98" s="168"/>
      <c r="F98" s="168"/>
    </row>
    <row r="99" spans="1:7" s="15" customFormat="1" ht="30" customHeight="1" x14ac:dyDescent="0.25">
      <c r="A99" s="36" t="s">
        <v>70</v>
      </c>
      <c r="B99" s="37"/>
      <c r="C99" s="37"/>
      <c r="D99" s="37"/>
      <c r="E99" s="37"/>
      <c r="F99" s="37"/>
      <c r="G99" s="35"/>
    </row>
    <row r="100" spans="1:7" s="15" customFormat="1" ht="30" customHeight="1" x14ac:dyDescent="0.25">
      <c r="A100" s="36"/>
      <c r="B100" s="37"/>
      <c r="C100" s="37"/>
      <c r="D100" s="37"/>
      <c r="E100" s="37"/>
      <c r="F100" s="37"/>
      <c r="G100" s="35"/>
    </row>
    <row r="101" spans="1:7" s="15" customFormat="1" ht="30" customHeight="1" x14ac:dyDescent="0.25">
      <c r="A101" s="36"/>
      <c r="B101" s="37"/>
      <c r="C101" s="37"/>
      <c r="D101" s="37"/>
      <c r="E101" s="37"/>
      <c r="F101" s="37"/>
      <c r="G101" s="35"/>
    </row>
    <row r="102" spans="1:7" s="15" customFormat="1" ht="30" customHeight="1" x14ac:dyDescent="0.25">
      <c r="A102" s="36"/>
      <c r="B102" s="37"/>
      <c r="C102" s="37"/>
      <c r="D102" s="37"/>
      <c r="E102" s="37"/>
      <c r="F102" s="37"/>
      <c r="G102" s="35"/>
    </row>
    <row r="103" spans="1:7" s="15" customFormat="1" ht="30" customHeight="1" x14ac:dyDescent="0.25">
      <c r="A103" s="36"/>
      <c r="B103" s="37"/>
      <c r="C103" s="37"/>
      <c r="D103" s="37"/>
      <c r="E103" s="37"/>
      <c r="F103" s="37"/>
      <c r="G103" s="35"/>
    </row>
    <row r="104" spans="1:7" s="15" customFormat="1" ht="30" customHeight="1" x14ac:dyDescent="0.25">
      <c r="A104" s="36"/>
      <c r="B104" s="37"/>
      <c r="C104" s="37"/>
      <c r="D104" s="37"/>
      <c r="E104" s="37"/>
      <c r="F104" s="37"/>
      <c r="G104" s="35"/>
    </row>
    <row r="105" spans="1:7" s="15" customFormat="1" ht="30" customHeight="1" x14ac:dyDescent="0.25">
      <c r="A105" s="36"/>
      <c r="B105" s="37"/>
      <c r="C105" s="37"/>
      <c r="D105" s="37"/>
      <c r="E105" s="37"/>
      <c r="F105" s="37"/>
      <c r="G105" s="35"/>
    </row>
    <row r="106" spans="1:7" s="15" customFormat="1" ht="30" customHeight="1" x14ac:dyDescent="0.25">
      <c r="A106" s="36"/>
      <c r="B106" s="37"/>
      <c r="C106" s="37"/>
      <c r="D106" s="37"/>
      <c r="E106" s="37"/>
      <c r="F106" s="37"/>
      <c r="G106" s="35"/>
    </row>
    <row r="107" spans="1:7" s="15" customFormat="1" ht="30" customHeight="1" x14ac:dyDescent="0.25">
      <c r="A107" s="36"/>
      <c r="B107" s="37"/>
      <c r="C107" s="37"/>
      <c r="D107" s="37"/>
      <c r="E107" s="37"/>
      <c r="F107" s="37"/>
      <c r="G107" s="35"/>
    </row>
    <row r="108" spans="1:7" s="15" customFormat="1" ht="30" customHeight="1" x14ac:dyDescent="0.25">
      <c r="A108" s="36"/>
      <c r="B108" s="37"/>
      <c r="C108" s="37"/>
      <c r="D108" s="37"/>
      <c r="E108" s="37"/>
      <c r="F108" s="37"/>
      <c r="G108" s="35"/>
    </row>
    <row r="109" spans="1:7" s="15" customFormat="1" ht="30" customHeight="1" x14ac:dyDescent="0.25">
      <c r="A109" s="36"/>
      <c r="B109" s="37"/>
      <c r="C109" s="37"/>
      <c r="D109" s="37"/>
      <c r="E109" s="37"/>
      <c r="F109" s="37"/>
      <c r="G109" s="35"/>
    </row>
    <row r="110" spans="1:7" s="15" customFormat="1" ht="30" customHeight="1" x14ac:dyDescent="0.25">
      <c r="A110" s="36"/>
      <c r="B110" s="37"/>
      <c r="C110" s="37"/>
      <c r="D110" s="37"/>
      <c r="E110" s="37"/>
      <c r="F110" s="37"/>
      <c r="G110" s="35"/>
    </row>
    <row r="111" spans="1:7" s="15" customFormat="1" ht="30" customHeight="1" x14ac:dyDescent="0.25">
      <c r="A111" s="36"/>
      <c r="B111" s="37"/>
      <c r="C111" s="37"/>
      <c r="D111" s="37"/>
      <c r="E111" s="37"/>
      <c r="F111" s="37"/>
      <c r="G111" s="35"/>
    </row>
    <row r="112" spans="1:7" ht="30" customHeight="1" thickBot="1" x14ac:dyDescent="0.4">
      <c r="A112" s="169"/>
      <c r="B112" s="170"/>
      <c r="C112" s="170"/>
      <c r="D112" s="170"/>
      <c r="E112" s="170"/>
      <c r="F112" s="170"/>
    </row>
    <row r="113" spans="1:8" s="127" customFormat="1" ht="38.25" customHeight="1" thickBot="1" x14ac:dyDescent="0.4">
      <c r="A113" s="223" t="s">
        <v>71</v>
      </c>
      <c r="B113" s="224"/>
      <c r="C113" s="224"/>
      <c r="D113" s="224"/>
      <c r="E113" s="224"/>
      <c r="F113" s="225"/>
      <c r="G113" s="102"/>
    </row>
    <row r="114" spans="1:8" s="12" customFormat="1" ht="38.25" customHeight="1" thickBot="1" x14ac:dyDescent="0.3">
      <c r="A114" s="266" t="s">
        <v>72</v>
      </c>
      <c r="B114" s="267"/>
      <c r="C114" s="267"/>
      <c r="D114" s="268"/>
      <c r="E114" s="229">
        <f>E37</f>
        <v>92676663.589999989</v>
      </c>
      <c r="F114" s="230"/>
      <c r="G114" s="35"/>
    </row>
    <row r="115" spans="1:8" s="12" customFormat="1" ht="38.25" customHeight="1" thickBot="1" x14ac:dyDescent="0.3">
      <c r="A115" s="226" t="s">
        <v>73</v>
      </c>
      <c r="B115" s="227"/>
      <c r="C115" s="227"/>
      <c r="D115" s="228"/>
      <c r="E115" s="229">
        <f>C87+D87</f>
        <v>86065427.059999987</v>
      </c>
      <c r="F115" s="230"/>
      <c r="G115" s="35"/>
      <c r="H115" s="34"/>
    </row>
    <row r="116" spans="1:8" s="12" customFormat="1" ht="38.25" customHeight="1" thickBot="1" x14ac:dyDescent="0.3">
      <c r="A116" s="226" t="s">
        <v>95</v>
      </c>
      <c r="B116" s="227"/>
      <c r="C116" s="227"/>
      <c r="D116" s="228"/>
      <c r="E116" s="231">
        <f>E34-(E115-E36)</f>
        <v>6611236.5300000012</v>
      </c>
      <c r="F116" s="232"/>
      <c r="G116" s="35"/>
    </row>
    <row r="117" spans="1:8" s="12" customFormat="1" ht="38.25" customHeight="1" thickBot="1" x14ac:dyDescent="0.3">
      <c r="A117" s="226" t="s">
        <v>75</v>
      </c>
      <c r="B117" s="227"/>
      <c r="C117" s="227"/>
      <c r="D117" s="228"/>
      <c r="E117" s="236">
        <v>0</v>
      </c>
      <c r="F117" s="237"/>
      <c r="G117" s="35"/>
    </row>
    <row r="118" spans="1:8" s="12" customFormat="1" ht="38.25" customHeight="1" thickBot="1" x14ac:dyDescent="0.3">
      <c r="A118" s="226" t="s">
        <v>76</v>
      </c>
      <c r="B118" s="227"/>
      <c r="C118" s="227"/>
      <c r="D118" s="228"/>
      <c r="E118" s="231">
        <f>E116-E117</f>
        <v>6611236.5300000012</v>
      </c>
      <c r="F118" s="232"/>
      <c r="G118" s="98"/>
      <c r="H118" s="34"/>
    </row>
    <row r="119" spans="1:8" ht="30" customHeight="1" x14ac:dyDescent="0.35">
      <c r="A119" s="142"/>
      <c r="B119" s="141"/>
      <c r="C119" s="141"/>
      <c r="D119" s="141"/>
      <c r="E119" s="141"/>
      <c r="F119" s="141"/>
    </row>
    <row r="120" spans="1:8" ht="30" customHeight="1" x14ac:dyDescent="0.35">
      <c r="A120" s="269" t="s">
        <v>77</v>
      </c>
      <c r="B120" s="269"/>
      <c r="C120" s="269"/>
      <c r="D120" s="269"/>
      <c r="E120" s="269"/>
      <c r="F120" s="269"/>
    </row>
    <row r="121" spans="1:8" ht="30" customHeight="1" x14ac:dyDescent="0.35">
      <c r="A121" s="269"/>
      <c r="B121" s="269"/>
      <c r="C121" s="269"/>
      <c r="D121" s="269"/>
      <c r="E121" s="269"/>
      <c r="F121" s="269"/>
    </row>
    <row r="122" spans="1:8" ht="30" customHeight="1" x14ac:dyDescent="0.35">
      <c r="A122" s="171"/>
      <c r="B122" s="171"/>
      <c r="C122" s="171"/>
      <c r="D122" s="171"/>
      <c r="E122" s="171"/>
      <c r="F122" s="171"/>
    </row>
    <row r="123" spans="1:8" ht="30" customHeight="1" x14ac:dyDescent="0.35">
      <c r="A123" s="171"/>
      <c r="B123" s="171"/>
      <c r="C123" s="171"/>
      <c r="D123" s="171"/>
      <c r="E123" s="171"/>
      <c r="F123" s="171"/>
    </row>
    <row r="124" spans="1:8" ht="30" customHeight="1" x14ac:dyDescent="0.35">
      <c r="A124" s="171"/>
      <c r="B124" s="171"/>
      <c r="C124" s="171"/>
      <c r="D124" s="171"/>
      <c r="E124" s="171"/>
      <c r="F124" s="171"/>
    </row>
    <row r="125" spans="1:8" ht="30" customHeight="1" x14ac:dyDescent="0.35">
      <c r="A125" s="171"/>
      <c r="B125" s="171"/>
      <c r="C125" s="171"/>
      <c r="D125" s="171"/>
      <c r="E125" s="171"/>
      <c r="F125" s="171"/>
    </row>
    <row r="126" spans="1:8" ht="30" customHeight="1" x14ac:dyDescent="0.4">
      <c r="A126" s="172"/>
      <c r="B126" s="173"/>
      <c r="C126" s="173"/>
      <c r="D126" s="173"/>
      <c r="E126" s="174"/>
      <c r="F126" s="175"/>
    </row>
    <row r="127" spans="1:8" ht="30" customHeight="1" x14ac:dyDescent="0.4">
      <c r="A127" s="77" t="s">
        <v>212</v>
      </c>
      <c r="B127" s="173"/>
      <c r="C127" s="173"/>
      <c r="D127" s="173"/>
      <c r="E127" s="174"/>
      <c r="F127" s="175"/>
    </row>
    <row r="136" spans="1:6" ht="30" x14ac:dyDescent="0.4">
      <c r="A136" s="82"/>
      <c r="B136" s="83"/>
      <c r="C136" s="83"/>
      <c r="D136" s="83"/>
      <c r="E136" s="83"/>
      <c r="F136" s="83"/>
    </row>
    <row r="137" spans="1:6" ht="30" x14ac:dyDescent="0.4">
      <c r="A137" s="82"/>
      <c r="B137" s="83"/>
      <c r="C137" s="83"/>
      <c r="D137" s="83"/>
      <c r="E137" s="83"/>
      <c r="F137" s="83"/>
    </row>
    <row r="140" spans="1:6" ht="48.75" customHeight="1" x14ac:dyDescent="0.35">
      <c r="B140" s="83"/>
      <c r="C140" s="83"/>
      <c r="D140" s="83"/>
      <c r="E140" s="83"/>
      <c r="F140" s="83"/>
    </row>
    <row r="141" spans="1:6" ht="48.75" customHeight="1" x14ac:dyDescent="0.35">
      <c r="B141" s="83"/>
      <c r="C141" s="83"/>
      <c r="D141" s="83"/>
      <c r="E141" s="83"/>
      <c r="F141" s="83"/>
    </row>
    <row r="147" spans="2:6" x14ac:dyDescent="0.35">
      <c r="B147" s="83"/>
      <c r="C147" s="83"/>
      <c r="D147" s="83"/>
      <c r="E147" s="83"/>
      <c r="F147" s="83"/>
    </row>
    <row r="148" spans="2:6" x14ac:dyDescent="0.35">
      <c r="B148" s="83"/>
      <c r="C148" s="83"/>
      <c r="D148" s="83"/>
      <c r="E148" s="83"/>
      <c r="F148" s="83"/>
    </row>
    <row r="150" spans="2:6" ht="30" x14ac:dyDescent="0.4">
      <c r="B150" s="82"/>
      <c r="C150" s="82"/>
      <c r="D150" s="82"/>
      <c r="E150" s="82"/>
      <c r="F150" s="82"/>
    </row>
    <row r="151" spans="2:6" ht="30" x14ac:dyDescent="0.4">
      <c r="B151" s="82"/>
      <c r="C151" s="177"/>
      <c r="D151" s="178"/>
      <c r="E151" s="177"/>
      <c r="F151" s="177"/>
    </row>
    <row r="154" spans="2:6" ht="30" x14ac:dyDescent="0.4">
      <c r="B154" s="265"/>
      <c r="C154" s="265"/>
      <c r="D154" s="82"/>
      <c r="E154" s="82"/>
      <c r="F154" s="82"/>
    </row>
    <row r="155" spans="2:6" ht="30" x14ac:dyDescent="0.4">
      <c r="B155" s="265"/>
      <c r="C155" s="265"/>
      <c r="D155" s="265"/>
      <c r="E155" s="265"/>
      <c r="F155" s="178"/>
    </row>
    <row r="161" spans="2:6" ht="30" x14ac:dyDescent="0.4">
      <c r="B161" s="265"/>
      <c r="C161" s="265"/>
      <c r="D161" s="82"/>
      <c r="E161" s="82"/>
      <c r="F161" s="82"/>
    </row>
    <row r="162" spans="2:6" ht="30" x14ac:dyDescent="0.4">
      <c r="B162" s="265"/>
      <c r="C162" s="265"/>
      <c r="D162" s="177"/>
      <c r="E162" s="178"/>
      <c r="F162" s="178"/>
    </row>
  </sheetData>
  <mergeCells count="50">
    <mergeCell ref="A24:B24"/>
    <mergeCell ref="E24:F24"/>
    <mergeCell ref="A9:F9"/>
    <mergeCell ref="A10:F10"/>
    <mergeCell ref="A18:F18"/>
    <mergeCell ref="A19:F19"/>
    <mergeCell ref="A20:F20"/>
    <mergeCell ref="A33:D33"/>
    <mergeCell ref="E33:F33"/>
    <mergeCell ref="A25:B25"/>
    <mergeCell ref="E25:F25"/>
    <mergeCell ref="E26:F26"/>
    <mergeCell ref="A27:F27"/>
    <mergeCell ref="E28:F28"/>
    <mergeCell ref="E29:F29"/>
    <mergeCell ref="A30:D30"/>
    <mergeCell ref="E30:F30"/>
    <mergeCell ref="A31:D31"/>
    <mergeCell ref="E31:F31"/>
    <mergeCell ref="E32:F32"/>
    <mergeCell ref="A32:D32"/>
    <mergeCell ref="A113:F113"/>
    <mergeCell ref="A34:D34"/>
    <mergeCell ref="E34:F34"/>
    <mergeCell ref="A35:D35"/>
    <mergeCell ref="E35:F35"/>
    <mergeCell ref="A36:D36"/>
    <mergeCell ref="E36:F36"/>
    <mergeCell ref="A37:D37"/>
    <mergeCell ref="E37:F37"/>
    <mergeCell ref="A56:F57"/>
    <mergeCell ref="A62:F62"/>
    <mergeCell ref="A63:F63"/>
    <mergeCell ref="A40:C40"/>
    <mergeCell ref="A114:D114"/>
    <mergeCell ref="E114:F114"/>
    <mergeCell ref="A115:D115"/>
    <mergeCell ref="E115:F115"/>
    <mergeCell ref="A116:D116"/>
    <mergeCell ref="E116:F116"/>
    <mergeCell ref="A117:D117"/>
    <mergeCell ref="E117:F117"/>
    <mergeCell ref="A118:D118"/>
    <mergeCell ref="E118:F118"/>
    <mergeCell ref="A120:F121"/>
    <mergeCell ref="B154:C154"/>
    <mergeCell ref="B155:C155"/>
    <mergeCell ref="D155:E155"/>
    <mergeCell ref="B161:C161"/>
    <mergeCell ref="B162:C162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36" fitToHeight="0" orientation="portrait" r:id="rId1"/>
  <rowBreaks count="2" manualBreakCount="2">
    <brk id="46" max="5" man="1"/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Anexo 12 - ESTADUAL</vt:lpstr>
      <vt:lpstr>Anexo 12 - FEDERAL</vt:lpstr>
      <vt:lpstr>Anexo 12 - FEDERAL COVID</vt:lpstr>
      <vt:lpstr>Anexo 12 - PRÓPRIO</vt:lpstr>
      <vt:lpstr>'Anexo 12 - ESTADUAL'!Area_de_impressao</vt:lpstr>
      <vt:lpstr>'Anexo 12 - FEDERAL'!Area_de_impressao</vt:lpstr>
      <vt:lpstr>'Anexo 12 - FEDERAL COVID'!Area_de_impressao</vt:lpstr>
      <vt:lpstr>'Anexo 12 - PRÓPRIO'!Area_de_impressao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CONTABILIDADE</cp:lastModifiedBy>
  <cp:lastPrinted>2023-05-22T20:05:54Z</cp:lastPrinted>
  <dcterms:created xsi:type="dcterms:W3CDTF">2022-07-15T14:23:28Z</dcterms:created>
  <dcterms:modified xsi:type="dcterms:W3CDTF">2023-06-02T12:44:16Z</dcterms:modified>
</cp:coreProperties>
</file>